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bert\Documents\"/>
    </mc:Choice>
  </mc:AlternateContent>
  <xr:revisionPtr revIDLastSave="0" documentId="13_ncr:1_{1EDF6187-AE9B-4452-8748-1B80ECAFCF05}" xr6:coauthVersionLast="47" xr6:coauthVersionMax="47" xr10:uidLastSave="{00000000-0000-0000-0000-000000000000}"/>
  <bookViews>
    <workbookView xWindow="-120" yWindow="-120" windowWidth="20730" windowHeight="11160" tabRatio="44" xr2:uid="{00000000-000D-0000-FFFF-FFFF00000000}"/>
  </bookViews>
  <sheets>
    <sheet name="TC-C.B-Fuse" sheetId="3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I17" i="3" l="1"/>
  <c r="J17" i="3" s="1"/>
  <c r="I12" i="3"/>
  <c r="J12" i="3" s="1"/>
  <c r="I13" i="3"/>
  <c r="J13" i="3" s="1"/>
  <c r="O13" i="3"/>
  <c r="O12" i="3"/>
  <c r="AE52" i="2"/>
  <c r="AP33" i="2"/>
  <c r="AP34" i="2"/>
  <c r="AP35" i="2"/>
  <c r="AQ35" i="2" s="1"/>
  <c r="AP36" i="2"/>
  <c r="AP37" i="2"/>
  <c r="AP38" i="2"/>
  <c r="AP39" i="2"/>
  <c r="AQ39" i="2" s="1"/>
  <c r="AP40" i="2"/>
  <c r="AP41" i="2"/>
  <c r="AP42" i="2"/>
  <c r="AP43" i="2"/>
  <c r="AQ43" i="2" s="1"/>
  <c r="AP44" i="2"/>
  <c r="AP45" i="2"/>
  <c r="AP46" i="2"/>
  <c r="AP47" i="2"/>
  <c r="AQ47" i="2" s="1"/>
  <c r="AP48" i="2"/>
  <c r="AP49" i="2"/>
  <c r="AP50" i="2"/>
  <c r="AP51" i="2"/>
  <c r="AQ51" i="2" s="1"/>
  <c r="AP52" i="2"/>
  <c r="AP53" i="2"/>
  <c r="AP54" i="2"/>
  <c r="AQ52" i="2"/>
  <c r="AR52" i="2"/>
  <c r="AQ50" i="2"/>
  <c r="AR50" i="2"/>
  <c r="AQ48" i="2"/>
  <c r="AR48" i="2"/>
  <c r="AQ46" i="2"/>
  <c r="AR46" i="2"/>
  <c r="AQ44" i="2"/>
  <c r="AR44" i="2"/>
  <c r="AQ42" i="2"/>
  <c r="AR42" i="2"/>
  <c r="AQ40" i="2"/>
  <c r="AR40" i="2"/>
  <c r="AQ38" i="2"/>
  <c r="AQ36" i="2"/>
  <c r="AR36" i="2"/>
  <c r="AQ34" i="2"/>
  <c r="AQ53" i="2"/>
  <c r="AR53" i="2"/>
  <c r="AQ49" i="2"/>
  <c r="AR49" i="2"/>
  <c r="AQ45" i="2"/>
  <c r="AR45" i="2"/>
  <c r="AQ41" i="2"/>
  <c r="AR41" i="2"/>
  <c r="AQ37" i="2"/>
  <c r="AR37" i="2"/>
  <c r="AQ33" i="2"/>
  <c r="AR33" i="2"/>
  <c r="AQ54" i="2"/>
  <c r="AR54" i="2"/>
  <c r="AM7" i="2"/>
  <c r="AN7" i="2" s="1"/>
  <c r="AM8" i="2"/>
  <c r="AN8" i="2"/>
  <c r="AM9" i="2"/>
  <c r="AN9" i="2" s="1"/>
  <c r="AM10" i="2"/>
  <c r="AN10" i="2"/>
  <c r="AM11" i="2"/>
  <c r="AN11" i="2" s="1"/>
  <c r="AM12" i="2"/>
  <c r="AN12" i="2"/>
  <c r="AM13" i="2"/>
  <c r="AN13" i="2" s="1"/>
  <c r="AM14" i="2"/>
  <c r="AN14" i="2"/>
  <c r="AM15" i="2"/>
  <c r="AN15" i="2" s="1"/>
  <c r="AM16" i="2"/>
  <c r="AN16" i="2"/>
  <c r="AM17" i="2"/>
  <c r="AN17" i="2" s="1"/>
  <c r="AM18" i="2"/>
  <c r="AN18" i="2"/>
  <c r="AM19" i="2"/>
  <c r="AN19" i="2" s="1"/>
  <c r="AM20" i="2"/>
  <c r="AN20" i="2"/>
  <c r="AM21" i="2"/>
  <c r="AN21" i="2" s="1"/>
  <c r="AM22" i="2"/>
  <c r="AN22" i="2"/>
  <c r="AM23" i="2"/>
  <c r="AN23" i="2" s="1"/>
  <c r="AM24" i="2"/>
  <c r="AN24" i="2"/>
  <c r="AM25" i="2"/>
  <c r="AN25" i="2" s="1"/>
  <c r="AM26" i="2"/>
  <c r="AN26" i="2"/>
  <c r="AM27" i="2"/>
  <c r="AN27" i="2" s="1"/>
  <c r="AM28" i="2"/>
  <c r="AN28" i="2"/>
  <c r="AM29" i="2"/>
  <c r="AN29" i="2" s="1"/>
  <c r="AM30" i="2"/>
  <c r="AN30" i="2"/>
  <c r="AM31" i="2"/>
  <c r="AN31" i="2" s="1"/>
  <c r="AM32" i="2"/>
  <c r="AN32" i="2"/>
  <c r="AM33" i="2"/>
  <c r="AN33" i="2" s="1"/>
  <c r="AM34" i="2"/>
  <c r="AN34" i="2" s="1"/>
  <c r="AM35" i="2"/>
  <c r="AN35" i="2" s="1"/>
  <c r="AM36" i="2"/>
  <c r="AN36" i="2" s="1"/>
  <c r="AM37" i="2"/>
  <c r="AN37" i="2" s="1"/>
  <c r="AM38" i="2"/>
  <c r="AN38" i="2" s="1"/>
  <c r="AM39" i="2"/>
  <c r="AN39" i="2" s="1"/>
  <c r="AM40" i="2"/>
  <c r="AN40" i="2" s="1"/>
  <c r="AM41" i="2"/>
  <c r="AN41" i="2" s="1"/>
  <c r="AM42" i="2"/>
  <c r="AN42" i="2" s="1"/>
  <c r="AM43" i="2"/>
  <c r="AN43" i="2" s="1"/>
  <c r="AM44" i="2"/>
  <c r="AN44" i="2" s="1"/>
  <c r="AM45" i="2"/>
  <c r="AN45" i="2" s="1"/>
  <c r="AM46" i="2"/>
  <c r="AN46" i="2" s="1"/>
  <c r="AM47" i="2"/>
  <c r="AN47" i="2" s="1"/>
  <c r="AM48" i="2"/>
  <c r="AN48" i="2" s="1"/>
  <c r="AM49" i="2"/>
  <c r="AN49" i="2" s="1"/>
  <c r="AM50" i="2"/>
  <c r="AN50" i="2" s="1"/>
  <c r="AM51" i="2"/>
  <c r="AN51" i="2" s="1"/>
  <c r="AM52" i="2"/>
  <c r="AN52" i="2" s="1"/>
  <c r="AM53" i="2"/>
  <c r="AN53" i="2" s="1"/>
  <c r="AM54" i="2"/>
  <c r="AN54" i="2" s="1"/>
  <c r="AM55" i="2"/>
  <c r="AN55" i="2" s="1"/>
  <c r="AM56" i="2"/>
  <c r="AN56" i="2" s="1"/>
  <c r="AM57" i="2"/>
  <c r="AN57" i="2" s="1"/>
  <c r="AM58" i="2"/>
  <c r="AN58" i="2" s="1"/>
  <c r="AM59" i="2"/>
  <c r="AN59" i="2" s="1"/>
  <c r="AM60" i="2"/>
  <c r="AN60" i="2" s="1"/>
  <c r="AM6" i="2"/>
  <c r="AN6" i="2" s="1"/>
  <c r="AK40" i="2"/>
  <c r="AL40" i="2" s="1"/>
  <c r="AK41" i="2"/>
  <c r="AK42" i="2"/>
  <c r="AK43" i="2"/>
  <c r="AK44" i="2"/>
  <c r="AL44" i="2"/>
  <c r="AK45" i="2"/>
  <c r="AK46" i="2"/>
  <c r="AK47" i="2"/>
  <c r="AL47" i="2" s="1"/>
  <c r="AK48" i="2"/>
  <c r="AK49" i="2"/>
  <c r="AL49" i="2" s="1"/>
  <c r="AK50" i="2"/>
  <c r="AK51" i="2"/>
  <c r="AL51" i="2" s="1"/>
  <c r="AK52" i="2"/>
  <c r="AL52" i="2"/>
  <c r="AK53" i="2"/>
  <c r="AK54" i="2"/>
  <c r="AL54" i="2" s="1"/>
  <c r="AK55" i="2"/>
  <c r="AK56" i="2"/>
  <c r="AL56" i="2" s="1"/>
  <c r="AK57" i="2"/>
  <c r="AL57" i="2" s="1"/>
  <c r="AK58" i="2"/>
  <c r="AK59" i="2"/>
  <c r="AL59" i="2" s="1"/>
  <c r="AK60" i="2"/>
  <c r="AL60" i="2"/>
  <c r="AK7" i="2"/>
  <c r="AK8" i="2"/>
  <c r="AK9" i="2"/>
  <c r="AK10" i="2"/>
  <c r="AL10" i="2" s="1"/>
  <c r="AK11" i="2"/>
  <c r="AK12" i="2"/>
  <c r="AL12" i="2" s="1"/>
  <c r="AK13" i="2"/>
  <c r="AL13" i="2" s="1"/>
  <c r="AK14" i="2"/>
  <c r="AL14" i="2" s="1"/>
  <c r="AK15" i="2"/>
  <c r="AK16" i="2"/>
  <c r="AK17" i="2"/>
  <c r="AL16" i="2" s="1"/>
  <c r="AK18" i="2"/>
  <c r="AL18" i="2"/>
  <c r="AK19" i="2"/>
  <c r="AK20" i="2"/>
  <c r="AK21" i="2"/>
  <c r="AL20" i="2"/>
  <c r="AK22" i="2"/>
  <c r="AL22" i="2"/>
  <c r="AK23" i="2"/>
  <c r="AK24" i="2"/>
  <c r="AL24" i="2" s="1"/>
  <c r="AK25" i="2"/>
  <c r="AK26" i="2"/>
  <c r="AL26" i="2" s="1"/>
  <c r="AK27" i="2"/>
  <c r="AK28" i="2"/>
  <c r="AK29" i="2"/>
  <c r="AK30" i="2"/>
  <c r="AL29" i="2"/>
  <c r="AK31" i="2"/>
  <c r="AK32" i="2"/>
  <c r="AL32" i="2" s="1"/>
  <c r="AK33" i="2"/>
  <c r="AL33" i="2" s="1"/>
  <c r="AK34" i="2"/>
  <c r="AL34" i="2" s="1"/>
  <c r="AK35" i="2"/>
  <c r="AK36" i="2"/>
  <c r="AK37" i="2"/>
  <c r="AL36" i="2" s="1"/>
  <c r="AK38" i="2"/>
  <c r="AL38" i="2"/>
  <c r="AK39" i="2"/>
  <c r="AL39" i="2"/>
  <c r="AK6" i="2"/>
  <c r="AL6" i="2"/>
  <c r="AL50" i="2"/>
  <c r="AL53" i="2"/>
  <c r="AL55" i="2"/>
  <c r="AL58" i="2"/>
  <c r="AL41" i="2"/>
  <c r="AL42" i="2"/>
  <c r="AL45" i="2"/>
  <c r="AL46" i="2"/>
  <c r="AL8" i="2"/>
  <c r="AL7" i="2"/>
  <c r="AP7" i="2"/>
  <c r="AP8" i="2"/>
  <c r="AR8" i="2" s="1"/>
  <c r="AP9" i="2"/>
  <c r="AP10" i="2"/>
  <c r="AQ10" i="2" s="1"/>
  <c r="AP11" i="2"/>
  <c r="AP12" i="2"/>
  <c r="AR12" i="2" s="1"/>
  <c r="AP13" i="2"/>
  <c r="AP14" i="2"/>
  <c r="AQ14" i="2" s="1"/>
  <c r="AP15" i="2"/>
  <c r="AP16" i="2"/>
  <c r="AR15" i="2" s="1"/>
  <c r="AP17" i="2"/>
  <c r="AP18" i="2"/>
  <c r="AR17" i="2" s="1"/>
  <c r="AP19" i="2"/>
  <c r="AP20" i="2"/>
  <c r="AR20" i="2" s="1"/>
  <c r="AP21" i="2"/>
  <c r="AP22" i="2"/>
  <c r="AQ22" i="2" s="1"/>
  <c r="AP23" i="2"/>
  <c r="AP24" i="2"/>
  <c r="AR23" i="2" s="1"/>
  <c r="AP25" i="2"/>
  <c r="AP26" i="2"/>
  <c r="AR25" i="2" s="1"/>
  <c r="AP27" i="2"/>
  <c r="AP28" i="2"/>
  <c r="AR28" i="2" s="1"/>
  <c r="AP29" i="2"/>
  <c r="AP30" i="2"/>
  <c r="AR30" i="2" s="1"/>
  <c r="AP31" i="2"/>
  <c r="AP32" i="2"/>
  <c r="AR31" i="2" s="1"/>
  <c r="AP6" i="2"/>
  <c r="AQ6" i="2" s="1"/>
  <c r="AL48" i="2"/>
  <c r="AL43" i="2"/>
  <c r="AL35" i="2"/>
  <c r="AL27" i="2"/>
  <c r="AL30" i="2"/>
  <c r="AL28" i="2"/>
  <c r="AR6" i="2"/>
  <c r="AQ29" i="2"/>
  <c r="AR29" i="2"/>
  <c r="AQ25" i="2"/>
  <c r="AQ21" i="2"/>
  <c r="AR21" i="2"/>
  <c r="AQ17" i="2"/>
  <c r="AQ13" i="2"/>
  <c r="AR13" i="2"/>
  <c r="AQ11" i="2"/>
  <c r="AR11" i="2"/>
  <c r="AQ9" i="2"/>
  <c r="AR9" i="2"/>
  <c r="AQ7" i="2"/>
  <c r="AR7" i="2"/>
  <c r="AL25" i="2"/>
  <c r="AL23" i="2"/>
  <c r="AL21" i="2"/>
  <c r="AL19" i="2"/>
  <c r="AL17" i="2"/>
  <c r="AL15" i="2"/>
  <c r="AL11" i="2"/>
  <c r="AQ31" i="2"/>
  <c r="AQ27" i="2"/>
  <c r="AQ23" i="2"/>
  <c r="AQ19" i="2"/>
  <c r="AQ15" i="2"/>
  <c r="AQ32" i="2"/>
  <c r="AQ28" i="2"/>
  <c r="AQ24" i="2"/>
  <c r="AQ20" i="2"/>
  <c r="AQ16" i="2"/>
  <c r="AQ12" i="2"/>
  <c r="AQ8" i="2"/>
  <c r="AL37" i="2"/>
  <c r="I14" i="3"/>
  <c r="J14" i="3"/>
  <c r="I15" i="3"/>
  <c r="J15" i="3" s="1"/>
  <c r="I16" i="3"/>
  <c r="J16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AO7" i="3"/>
  <c r="AZ5" i="2" s="1"/>
  <c r="M15" i="3"/>
  <c r="M30" i="3"/>
  <c r="M31" i="3"/>
  <c r="M29" i="3"/>
  <c r="M28" i="3"/>
  <c r="I9" i="3"/>
  <c r="J9" i="3" s="1"/>
  <c r="I10" i="3"/>
  <c r="J10" i="3"/>
  <c r="I11" i="3"/>
  <c r="J11" i="3" s="1"/>
  <c r="I7" i="3"/>
  <c r="J7" i="3" s="1"/>
  <c r="I8" i="3"/>
  <c r="J8" i="3" s="1"/>
  <c r="AT6" i="3"/>
  <c r="AT23" i="3"/>
  <c r="AS23" i="3"/>
  <c r="AS24" i="3" s="1"/>
  <c r="AT24" i="3" s="1"/>
  <c r="AR23" i="3"/>
  <c r="AR24" i="3"/>
  <c r="AU24" i="3" s="1"/>
  <c r="AQ24" i="3" s="1"/>
  <c r="N24" i="3" s="1"/>
  <c r="AT19" i="3"/>
  <c r="AS19" i="3"/>
  <c r="AR19" i="3"/>
  <c r="AR20" i="3" s="1"/>
  <c r="AT20" i="3" s="1"/>
  <c r="AT5" i="2"/>
  <c r="AU33" i="2"/>
  <c r="AX33" i="2" s="1"/>
  <c r="AU7" i="2" s="1"/>
  <c r="AU39" i="2"/>
  <c r="AZ39" i="2" s="1"/>
  <c r="AV8" i="2" s="1"/>
  <c r="AV9" i="2" s="1"/>
  <c r="AS20" i="3"/>
  <c r="AQ19" i="3"/>
  <c r="N19" i="3" s="1"/>
  <c r="AU19" i="3"/>
  <c r="AU23" i="3"/>
  <c r="AX39" i="2"/>
  <c r="AU8" i="2" s="1"/>
  <c r="AU9" i="2" s="1"/>
  <c r="AZ33" i="2"/>
  <c r="AV7" i="2" s="1"/>
  <c r="AO8" i="3"/>
  <c r="AV34" i="2" s="1"/>
  <c r="AZ34" i="2" s="1"/>
  <c r="AX7" i="2" s="1"/>
  <c r="AV33" i="2"/>
  <c r="AU20" i="3"/>
  <c r="AQ20" i="3" s="1"/>
  <c r="N20" i="3" s="1"/>
  <c r="AV40" i="2"/>
  <c r="AX40" i="2" s="1"/>
  <c r="AW8" i="2" s="1"/>
  <c r="AW9" i="2" s="1"/>
  <c r="S11" i="3"/>
  <c r="N33" i="3" s="1"/>
  <c r="AZ40" i="2" l="1"/>
  <c r="AX8" i="2" s="1"/>
  <c r="AX9" i="2" s="1"/>
  <c r="AQ23" i="3"/>
  <c r="N23" i="3" s="1"/>
  <c r="J35" i="3"/>
  <c r="J37" i="3" s="1"/>
  <c r="N6" i="3" s="1"/>
  <c r="AR4" i="2" s="1"/>
  <c r="AR25" i="3"/>
  <c r="AR21" i="3"/>
  <c r="AS21" i="3" s="1"/>
  <c r="AU21" i="3" s="1"/>
  <c r="AQ21" i="3" s="1"/>
  <c r="N21" i="3" s="1"/>
  <c r="N34" i="3"/>
  <c r="N35" i="3" s="1"/>
  <c r="N36" i="3" s="1"/>
  <c r="AX34" i="2"/>
  <c r="AW7" i="2" s="1"/>
  <c r="AQ4" i="2"/>
  <c r="AQ30" i="2"/>
  <c r="AR10" i="2"/>
  <c r="AR14" i="2"/>
  <c r="AR18" i="2"/>
  <c r="AR22" i="2"/>
  <c r="AR26" i="2"/>
  <c r="AR32" i="2"/>
  <c r="AR19" i="2"/>
  <c r="AR27" i="2"/>
  <c r="AL9" i="2"/>
  <c r="AL31" i="2"/>
  <c r="AR35" i="2"/>
  <c r="AR39" i="2"/>
  <c r="AR43" i="2"/>
  <c r="AR47" i="2"/>
  <c r="AR51" i="2"/>
  <c r="AR34" i="2"/>
  <c r="AR38" i="2"/>
  <c r="AV39" i="2"/>
  <c r="AQ18" i="2"/>
  <c r="AQ26" i="2"/>
  <c r="AR16" i="2"/>
  <c r="AR24" i="2"/>
  <c r="AP3" i="2" l="1"/>
  <c r="AP4" i="2" s="1"/>
  <c r="AQ2" i="2" s="1"/>
  <c r="AT21" i="3"/>
  <c r="AS22" i="3"/>
  <c r="AU22" i="3" s="1"/>
  <c r="AQ22" i="3" s="1"/>
  <c r="N22" i="3" s="1"/>
  <c r="AR22" i="3"/>
  <c r="AT22" i="3" s="1"/>
  <c r="AQ3" i="2"/>
  <c r="N11" i="3" s="1"/>
  <c r="AU25" i="3"/>
  <c r="AQ25" i="3" s="1"/>
  <c r="N25" i="3" s="1"/>
  <c r="AR26" i="3"/>
  <c r="AU26" i="3" s="1"/>
  <c r="AQ26" i="3" s="1"/>
  <c r="N26" i="3" s="1"/>
  <c r="AT100" i="2" s="1"/>
  <c r="AS25" i="3"/>
  <c r="AU10" i="2"/>
  <c r="AU11" i="2" s="1"/>
  <c r="AV10" i="2"/>
  <c r="AV11" i="2" s="1"/>
  <c r="AT99" i="2"/>
  <c r="AT25" i="3" l="1"/>
  <c r="AS26" i="3"/>
  <c r="AT26" i="3" s="1"/>
  <c r="AT117" i="2"/>
  <c r="AW116" i="2" s="1"/>
  <c r="AW99" i="2"/>
  <c r="AX10" i="2"/>
  <c r="AX11" i="2" s="1"/>
  <c r="AW10" i="2"/>
  <c r="AW11" i="2" s="1"/>
  <c r="AT116" i="2"/>
  <c r="AV116" i="2" s="1"/>
  <c r="AV117" i="2" s="1"/>
  <c r="AV118" i="2" s="1"/>
  <c r="AV121" i="2" s="1"/>
  <c r="AV99" i="2"/>
  <c r="AW117" i="2" l="1"/>
  <c r="AW118" i="2" s="1"/>
  <c r="AW121" i="2" s="1"/>
  <c r="AX116" i="2"/>
  <c r="AX99" i="2"/>
  <c r="AV100" i="2"/>
  <c r="AV101" i="2" s="1"/>
  <c r="BA11" i="2"/>
  <c r="N29" i="3" s="1"/>
  <c r="O29" i="3" s="1"/>
  <c r="AZ11" i="2"/>
  <c r="N28" i="3" s="1"/>
  <c r="O28" i="3" s="1"/>
  <c r="BC11" i="2" l="1"/>
  <c r="N31" i="3" s="1"/>
  <c r="O31" i="3" s="1"/>
  <c r="BB11" i="2"/>
  <c r="N30" i="3" s="1"/>
  <c r="O30" i="3" s="1"/>
</calcChain>
</file>

<file path=xl/sharedStrings.xml><?xml version="1.0" encoding="utf-8"?>
<sst xmlns="http://schemas.openxmlformats.org/spreadsheetml/2006/main" count="156" uniqueCount="94">
  <si>
    <t>Pri</t>
  </si>
  <si>
    <t>Sec</t>
  </si>
  <si>
    <t>3 Phase T.C (KVA)</t>
  </si>
  <si>
    <t>Volt</t>
  </si>
  <si>
    <t>Amp</t>
  </si>
  <si>
    <t>Y-Y</t>
  </si>
  <si>
    <t>Fuse / Inverse Time C.B as per NEC (Amp)</t>
  </si>
  <si>
    <t>Transformer Impedance:</t>
  </si>
  <si>
    <t>Size of Transformer:</t>
  </si>
  <si>
    <t>Primary Side Voltage (L-L):</t>
  </si>
  <si>
    <t>Secondary  Side Voltage (L-L):</t>
  </si>
  <si>
    <t>Supervised</t>
  </si>
  <si>
    <t>%Imp</t>
  </si>
  <si>
    <t>Primary</t>
  </si>
  <si>
    <t>Fuse</t>
  </si>
  <si>
    <t>C.B</t>
  </si>
  <si>
    <t>secondary</t>
  </si>
  <si>
    <t>&gt;600</t>
  </si>
  <si>
    <t>&lt;600</t>
  </si>
  <si>
    <t>C.B/Fuse</t>
  </si>
  <si>
    <t>More Than 600V</t>
  </si>
  <si>
    <t>Not Supervised</t>
  </si>
  <si>
    <t>Secondary</t>
  </si>
  <si>
    <t xml:space="preserve">C.B </t>
  </si>
  <si>
    <t>UnSupervised</t>
  </si>
  <si>
    <t>Sec.</t>
  </si>
  <si>
    <t>Prim.</t>
  </si>
  <si>
    <t>Sr.No</t>
  </si>
  <si>
    <t>Equipment</t>
  </si>
  <si>
    <t>Qty</t>
  </si>
  <si>
    <t>Total Kva</t>
  </si>
  <si>
    <t>Transformer Connection</t>
  </si>
  <si>
    <t>Y-∆</t>
  </si>
  <si>
    <t>∆-Y</t>
  </si>
  <si>
    <t>∆-∆</t>
  </si>
  <si>
    <t>Y-D</t>
  </si>
  <si>
    <t>D-D</t>
  </si>
  <si>
    <t>D-Y</t>
  </si>
  <si>
    <t>Primary Line Voltage (L-L)</t>
  </si>
  <si>
    <t>Primary Phase Voltage (L-P)</t>
  </si>
  <si>
    <t>Primary Line Current(L-L):</t>
  </si>
  <si>
    <t>Primary Phase Current(L-P):</t>
  </si>
  <si>
    <t>Secondary Line Voltage (L-L)</t>
  </si>
  <si>
    <t>Secondary Phase Voltage (L-P)</t>
  </si>
  <si>
    <t>Secondary Line Current(L-L):</t>
  </si>
  <si>
    <t>Secondary Phase Current(L-P):</t>
  </si>
  <si>
    <t>P.F</t>
  </si>
  <si>
    <t>Location of Transformer</t>
  </si>
  <si>
    <t>Watt</t>
  </si>
  <si>
    <t>Full Load Copper Loss</t>
  </si>
  <si>
    <t>Total Losses@ Full Load</t>
  </si>
  <si>
    <t>Total Losses@ 1/4 Load</t>
  </si>
  <si>
    <t>Core Loss</t>
  </si>
  <si>
    <t>Maximum Rating of Over current Protection for Transformers Less than 600 Volts</t>
  </si>
  <si>
    <t>Protection</t>
  </si>
  <si>
    <t>Method</t>
  </si>
  <si>
    <t>Primary Protection</t>
  </si>
  <si>
    <t>Secondary Protection</t>
  </si>
  <si>
    <t>More than 9A</t>
  </si>
  <si>
    <t>2A to 9A</t>
  </si>
  <si>
    <t>Less than 2A</t>
  </si>
  <si>
    <t>Less than 9A</t>
  </si>
  <si>
    <t>Primary only protection</t>
  </si>
  <si>
    <t>125%(NH)</t>
  </si>
  <si>
    <t>Not required</t>
  </si>
  <si>
    <t>Primary and secondary protection</t>
  </si>
  <si>
    <t>Type Protection on Primary &amp; Secondary Side:</t>
  </si>
  <si>
    <t>Primary Only</t>
  </si>
  <si>
    <t>Pri.Side &amp; Sec.Side</t>
  </si>
  <si>
    <t>Primary &amp; Secondary protection</t>
  </si>
  <si>
    <t>N/A</t>
  </si>
  <si>
    <t>Equipment D.F</t>
  </si>
  <si>
    <t xml:space="preserve">Total Load D.F </t>
  </si>
  <si>
    <t>Efficency of Transformer at Full Load</t>
  </si>
  <si>
    <t>Efficency of Transformer at 1/4 Load</t>
  </si>
  <si>
    <t>Transformer Losses</t>
  </si>
  <si>
    <t>Transformer Voltage / Current</t>
  </si>
  <si>
    <t>Total Diversified Load</t>
  </si>
  <si>
    <t>Electrical Motor</t>
  </si>
  <si>
    <t>KVA</t>
  </si>
  <si>
    <t>Equipment connected to Transformer</t>
  </si>
  <si>
    <t>Transformer Information</t>
  </si>
  <si>
    <t xml:space="preserve">KVA </t>
  </si>
  <si>
    <t xml:space="preserve">                          Transformer, Fuse, and Circuit Breaker Sizing Calculator</t>
  </si>
  <si>
    <t>Enter Data in Purple Background Cells</t>
  </si>
  <si>
    <t>Results</t>
  </si>
  <si>
    <t>D.F (KVA)</t>
  </si>
  <si>
    <t>Total Load (KVA)</t>
  </si>
  <si>
    <t>Total D.F (KVA)</t>
  </si>
  <si>
    <t>Size of Circuit Breaker / Fuse</t>
  </si>
  <si>
    <t>KW</t>
  </si>
  <si>
    <t>Transformer, Fuse, and Circuit Breaker Size</t>
  </si>
  <si>
    <t>Standard Size of      3 Phase Transformer (KVA)</t>
  </si>
  <si>
    <t>Standard Size of Fuse / Circuit Breaker (Amp)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</si>
</sst>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8"/>
      <color rgb="FFFF0000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sz val="10"/>
      <name val="Bookman Old Style"/>
      <family val="1"/>
    </font>
    <font>
      <b/>
      <sz val="10"/>
      <color rgb="FF002060"/>
      <name val="Bookman Old Style"/>
      <family val="1"/>
    </font>
    <font>
      <sz val="10"/>
      <color rgb="FFFF0000"/>
      <name val="Bookman Old Style"/>
      <family val="1"/>
    </font>
    <font>
      <b/>
      <sz val="14"/>
      <color rgb="FFFF0000"/>
      <name val="Bookman Old Style"/>
      <family val="1"/>
    </font>
    <font>
      <sz val="10"/>
      <color theme="0"/>
      <name val="Bookman Old Style"/>
      <family val="1"/>
    </font>
    <font>
      <b/>
      <sz val="16"/>
      <color rgb="FFFF000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81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9" fontId="2" fillId="6" borderId="24" xfId="0" applyNumberFormat="1" applyFont="1" applyFill="1" applyBorder="1" applyAlignment="1" applyProtection="1">
      <alignment horizontal="center" vertical="center"/>
      <protection locked="0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9" fontId="2" fillId="6" borderId="26" xfId="0" applyNumberFormat="1" applyFont="1" applyFill="1" applyBorder="1" applyAlignment="1" applyProtection="1">
      <alignment horizontal="center" vertical="center"/>
      <protection locked="0"/>
    </xf>
    <xf numFmtId="10" fontId="2" fillId="6" borderId="24" xfId="0" applyNumberFormat="1" applyFont="1" applyFill="1" applyBorder="1" applyAlignment="1" applyProtection="1">
      <alignment horizontal="center" vertical="center"/>
      <protection locked="0"/>
    </xf>
    <xf numFmtId="9" fontId="6" fillId="6" borderId="24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/>
    <xf numFmtId="0" fontId="12" fillId="4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9" fontId="8" fillId="4" borderId="9" xfId="0" applyNumberFormat="1" applyFont="1" applyFill="1" applyBorder="1" applyAlignment="1">
      <alignment horizontal="center"/>
    </xf>
    <xf numFmtId="1" fontId="8" fillId="4" borderId="0" xfId="0" applyNumberFormat="1" applyFont="1" applyFill="1" applyAlignment="1">
      <alignment horizontal="center"/>
    </xf>
    <xf numFmtId="0" fontId="8" fillId="4" borderId="9" xfId="0" applyFont="1" applyFill="1" applyBorder="1"/>
    <xf numFmtId="9" fontId="6" fillId="4" borderId="9" xfId="0" applyNumberFormat="1" applyFont="1" applyFill="1" applyBorder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/>
    </xf>
    <xf numFmtId="9" fontId="8" fillId="4" borderId="8" xfId="0" applyNumberFormat="1" applyFont="1" applyFill="1" applyBorder="1" applyAlignment="1">
      <alignment horizontal="center" vertical="top" wrapText="1"/>
    </xf>
    <xf numFmtId="9" fontId="8" fillId="4" borderId="9" xfId="0" applyNumberFormat="1" applyFont="1" applyFill="1" applyBorder="1" applyAlignment="1">
      <alignment horizontal="center" vertical="top" wrapText="1"/>
    </xf>
    <xf numFmtId="9" fontId="6" fillId="4" borderId="0" xfId="0" applyNumberFormat="1" applyFont="1" applyFill="1" applyAlignment="1">
      <alignment horizontal="center"/>
    </xf>
    <xf numFmtId="0" fontId="6" fillId="4" borderId="0" xfId="0" applyFont="1" applyFill="1"/>
    <xf numFmtId="0" fontId="2" fillId="4" borderId="0" xfId="0" applyFont="1" applyFill="1" applyAlignment="1">
      <alignment horizontal="center"/>
    </xf>
    <xf numFmtId="0" fontId="8" fillId="4" borderId="10" xfId="0" applyFont="1" applyFill="1" applyBorder="1"/>
    <xf numFmtId="0" fontId="8" fillId="4" borderId="11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/>
    <xf numFmtId="9" fontId="6" fillId="4" borderId="11" xfId="0" applyNumberFormat="1" applyFont="1" applyFill="1" applyBorder="1" applyAlignment="1">
      <alignment horizontal="center"/>
    </xf>
    <xf numFmtId="0" fontId="8" fillId="4" borderId="12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14" fillId="4" borderId="28" xfId="0" applyFont="1" applyFill="1" applyBorder="1" applyAlignment="1">
      <alignment horizontal="center" vertical="top" wrapText="1"/>
    </xf>
    <xf numFmtId="0" fontId="15" fillId="4" borderId="29" xfId="0" applyFont="1" applyFill="1" applyBorder="1" applyAlignment="1">
      <alignment vertical="top" wrapText="1"/>
    </xf>
    <xf numFmtId="0" fontId="14" fillId="4" borderId="30" xfId="0" applyFont="1" applyFill="1" applyBorder="1" applyAlignment="1">
      <alignment horizontal="center" vertical="top" wrapText="1"/>
    </xf>
    <xf numFmtId="0" fontId="14" fillId="4" borderId="31" xfId="0" applyFont="1" applyFill="1" applyBorder="1" applyAlignment="1">
      <alignment horizontal="center" vertical="top" wrapText="1"/>
    </xf>
    <xf numFmtId="0" fontId="15" fillId="4" borderId="31" xfId="0" applyFont="1" applyFill="1" applyBorder="1" applyAlignment="1">
      <alignment horizontal="center" vertical="top" wrapText="1"/>
    </xf>
    <xf numFmtId="9" fontId="15" fillId="4" borderId="3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9" fontId="8" fillId="4" borderId="0" xfId="0" applyNumberFormat="1" applyFont="1" applyFill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9" fontId="6" fillId="4" borderId="9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1" fontId="7" fillId="6" borderId="24" xfId="0" applyNumberFormat="1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164" fontId="10" fillId="4" borderId="0" xfId="0" applyNumberFormat="1" applyFont="1" applyFill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1" fontId="8" fillId="4" borderId="0" xfId="0" applyNumberFormat="1" applyFont="1" applyFill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1" fontId="2" fillId="4" borderId="0" xfId="0" applyNumberFormat="1" applyFont="1" applyFill="1" applyAlignment="1" applyProtection="1">
      <alignment horizontal="center" vertical="center"/>
      <protection locked="0"/>
    </xf>
    <xf numFmtId="165" fontId="8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5" fontId="8" fillId="4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1" fontId="7" fillId="4" borderId="0" xfId="0" applyNumberFormat="1" applyFont="1" applyFill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1" fontId="7" fillId="6" borderId="26" xfId="0" applyNumberFormat="1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vertical="center"/>
      <protection locked="0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1" fillId="4" borderId="14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5" borderId="36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top" wrapText="1"/>
    </xf>
    <xf numFmtId="0" fontId="14" fillId="4" borderId="38" xfId="0" applyFont="1" applyFill="1" applyBorder="1" applyAlignment="1">
      <alignment horizontal="center" vertical="top" wrapText="1"/>
    </xf>
    <xf numFmtId="0" fontId="14" fillId="4" borderId="39" xfId="0" applyFont="1" applyFill="1" applyBorder="1" applyAlignment="1">
      <alignment horizontal="center" vertical="top" wrapText="1"/>
    </xf>
    <xf numFmtId="0" fontId="14" fillId="4" borderId="40" xfId="0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top" wrapText="1"/>
    </xf>
    <xf numFmtId="0" fontId="14" fillId="4" borderId="42" xfId="0" applyFont="1" applyFill="1" applyBorder="1" applyAlignment="1">
      <alignment horizontal="center" vertical="top" wrapText="1"/>
    </xf>
    <xf numFmtId="0" fontId="14" fillId="4" borderId="43" xfId="0" applyFont="1" applyFill="1" applyBorder="1" applyAlignment="1">
      <alignment horizontal="center" vertical="top" wrapText="1"/>
    </xf>
    <xf numFmtId="0" fontId="14" fillId="4" borderId="44" xfId="0" applyFont="1" applyFill="1" applyBorder="1" applyAlignment="1">
      <alignment horizontal="center" vertical="top" wrapText="1"/>
    </xf>
    <xf numFmtId="0" fontId="14" fillId="4" borderId="45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>
          <bgColor theme="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CC"/>
      </font>
      <fill>
        <patternFill>
          <bgColor rgb="FFFFFFCC"/>
        </patternFill>
      </fill>
      <border>
        <left style="thin">
          <color rgb="FFFFFFCC"/>
        </left>
        <right style="thin">
          <color rgb="FFFFFFCC"/>
        </right>
        <top style="thin">
          <color rgb="FFFFFFCC"/>
        </top>
        <bottom style="thin">
          <color rgb="FFFFFFCC"/>
        </bottom>
      </border>
    </dxf>
  </dxfs>
  <tableStyles count="0" defaultTableStyle="TableStyleMedium9" defaultPivotStyle="PivotStyleLight16"/>
  <colors>
    <mruColors>
      <color rgb="FFC0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AO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checked="Checked" fmlaLink="$AO$10" lockText="1" noThreeD="1"/>
</file>

<file path=xl/ctrlProps/ctrlProp4.xml><?xml version="1.0" encoding="utf-8"?>
<formControlPr xmlns="http://schemas.microsoft.com/office/spreadsheetml/2009/9/main" objectType="CheckBox" checked="Checked" fmlaLink="$AO$1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s://forumelectrical.com/" TargetMode="External"/><Relationship Id="rId1" Type="http://schemas.openxmlformats.org/officeDocument/2006/relationships/hyperlink" Target="#Sheet2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C-C.B-Fus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222250</xdr:colOff>
      <xdr:row>0</xdr:row>
      <xdr:rowOff>152399</xdr:rowOff>
    </xdr:from>
    <xdr:to>
      <xdr:col>18</xdr:col>
      <xdr:colOff>19050</xdr:colOff>
      <xdr:row>3</xdr:row>
      <xdr:rowOff>28575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88083" y="152399"/>
          <a:ext cx="1373717" cy="532343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900" b="1">
              <a:latin typeface="Arial" pitchFamily="34" charset="0"/>
              <a:cs typeface="Arial" pitchFamily="34" charset="0"/>
            </a:rPr>
            <a:t>Enter Detail of TC/CB/Fuse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13</xdr:row>
          <xdr:rowOff>0</xdr:rowOff>
        </xdr:from>
        <xdr:to>
          <xdr:col>13</xdr:col>
          <xdr:colOff>933450</xdr:colOff>
          <xdr:row>14</xdr:row>
          <xdr:rowOff>9525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Supervised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12</xdr:row>
          <xdr:rowOff>152400</xdr:rowOff>
        </xdr:from>
        <xdr:to>
          <xdr:col>16</xdr:col>
          <xdr:colOff>57150</xdr:colOff>
          <xdr:row>14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Supervised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2867025</xdr:colOff>
          <xdr:row>15</xdr:row>
          <xdr:rowOff>38100</xdr:rowOff>
        </xdr:from>
        <xdr:to>
          <xdr:col>13</xdr:col>
          <xdr:colOff>990600</xdr:colOff>
          <xdr:row>15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Circuit Breaker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15</xdr:row>
          <xdr:rowOff>38100</xdr:rowOff>
        </xdr:from>
        <xdr:to>
          <xdr:col>16</xdr:col>
          <xdr:colOff>133350</xdr:colOff>
          <xdr:row>15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IN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Fuse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137583</xdr:colOff>
      <xdr:row>0</xdr:row>
      <xdr:rowOff>169333</xdr:rowOff>
    </xdr:from>
    <xdr:to>
      <xdr:col>5</xdr:col>
      <xdr:colOff>359833</xdr:colOff>
      <xdr:row>2</xdr:row>
      <xdr:rowOff>167282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" y="169333"/>
          <a:ext cx="3238500" cy="46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353484</xdr:colOff>
      <xdr:row>0</xdr:row>
      <xdr:rowOff>129117</xdr:rowOff>
    </xdr:from>
    <xdr:to>
      <xdr:col>10</xdr:col>
      <xdr:colOff>153460</xdr:colOff>
      <xdr:row>3</xdr:row>
      <xdr:rowOff>37043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48401" y="129117"/>
          <a:ext cx="1027642" cy="468843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I38"/>
  <sheetViews>
    <sheetView showGridLines="0" tabSelected="1" zoomScale="90" zoomScaleNormal="90" workbookViewId="0"/>
  </sheetViews>
  <sheetFormatPr defaultRowHeight="15" x14ac:dyDescent="0.25"/>
  <cols>
    <col min="1" max="1" width="2.28515625" style="3" customWidth="1"/>
    <col min="2" max="2" width="1" style="3" customWidth="1"/>
    <col min="3" max="3" width="6.42578125" style="62" customWidth="1"/>
    <col min="4" max="4" width="29" style="62" customWidth="1"/>
    <col min="5" max="6" width="6.5703125" style="61" customWidth="1"/>
    <col min="7" max="7" width="5.28515625" style="62" customWidth="1"/>
    <col min="8" max="8" width="12.28515625" style="62" customWidth="1"/>
    <col min="9" max="9" width="12.5703125" style="62" customWidth="1"/>
    <col min="10" max="10" width="9.140625" style="62"/>
    <col min="11" max="11" width="1" style="62" customWidth="1"/>
    <col min="12" max="12" width="2.42578125" style="62" customWidth="1"/>
    <col min="13" max="13" width="43.42578125" style="3" customWidth="1"/>
    <col min="14" max="14" width="17.85546875" style="1" customWidth="1"/>
    <col min="15" max="15" width="10.140625" style="3" customWidth="1"/>
    <col min="16" max="16" width="8.28515625" style="3" customWidth="1"/>
    <col min="17" max="17" width="5" style="3" customWidth="1"/>
    <col min="18" max="18" width="1.28515625" style="3" hidden="1" customWidth="1"/>
    <col min="19" max="40" width="9.140625" style="3" hidden="1" customWidth="1"/>
    <col min="41" max="41" width="8.85546875" style="3" hidden="1" customWidth="1"/>
    <col min="42" max="43" width="9.140625" style="3" hidden="1" customWidth="1"/>
    <col min="44" max="46" width="9.140625" style="1" hidden="1" customWidth="1"/>
    <col min="47" max="47" width="18.85546875" style="1" hidden="1" customWidth="1"/>
    <col min="48" max="53" width="9.140625" style="3" hidden="1" customWidth="1"/>
    <col min="54" max="57" width="0" style="3" hidden="1" customWidth="1"/>
    <col min="58" max="61" width="9.140625" style="19"/>
    <col min="62" max="16384" width="9.140625" style="3"/>
  </cols>
  <sheetData>
    <row r="1" spans="2:47" x14ac:dyDescent="0.25">
      <c r="C1" s="113" t="s">
        <v>84</v>
      </c>
      <c r="D1" s="113"/>
      <c r="E1" s="113"/>
      <c r="F1" s="110"/>
      <c r="G1" s="111"/>
      <c r="H1" s="111"/>
      <c r="I1" s="111"/>
      <c r="J1" s="111"/>
      <c r="K1" s="111"/>
      <c r="L1" s="111"/>
      <c r="M1" s="19"/>
      <c r="N1" s="109"/>
      <c r="O1" s="19"/>
      <c r="P1" s="19"/>
      <c r="Q1" s="19"/>
    </row>
    <row r="2" spans="2:47" ht="21.75" customHeight="1" x14ac:dyDescent="0.25">
      <c r="C2" s="112" t="s">
        <v>83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2:47" ht="16.5" customHeight="1" thickBot="1" x14ac:dyDescent="0.3"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2:47" ht="9" customHeight="1" x14ac:dyDescent="0.25">
      <c r="B4" s="63"/>
      <c r="C4" s="64"/>
      <c r="D4" s="64"/>
      <c r="E4" s="65"/>
      <c r="F4" s="65"/>
      <c r="G4" s="64"/>
      <c r="H4" s="64"/>
      <c r="I4" s="64"/>
      <c r="J4" s="64"/>
      <c r="K4" s="66"/>
      <c r="N4" s="3"/>
    </row>
    <row r="5" spans="2:47" ht="16.5" customHeight="1" x14ac:dyDescent="0.25">
      <c r="B5" s="67"/>
      <c r="C5" s="124" t="s">
        <v>80</v>
      </c>
      <c r="D5" s="125"/>
      <c r="E5" s="125"/>
      <c r="F5" s="125"/>
      <c r="G5" s="125"/>
      <c r="H5" s="125"/>
      <c r="I5" s="125"/>
      <c r="J5" s="126"/>
      <c r="K5" s="68"/>
      <c r="L5" s="69"/>
      <c r="M5" s="121" t="s">
        <v>81</v>
      </c>
      <c r="N5" s="122"/>
      <c r="O5" s="122"/>
      <c r="P5" s="122"/>
      <c r="Q5" s="123"/>
    </row>
    <row r="6" spans="2:47" ht="25.5" x14ac:dyDescent="0.25">
      <c r="B6" s="67"/>
      <c r="C6" s="70" t="s">
        <v>27</v>
      </c>
      <c r="D6" s="71" t="s">
        <v>28</v>
      </c>
      <c r="E6" s="71" t="s">
        <v>90</v>
      </c>
      <c r="F6" s="71" t="s">
        <v>46</v>
      </c>
      <c r="G6" s="71" t="s">
        <v>29</v>
      </c>
      <c r="H6" s="71" t="s">
        <v>71</v>
      </c>
      <c r="I6" s="71" t="s">
        <v>30</v>
      </c>
      <c r="J6" s="72" t="s">
        <v>86</v>
      </c>
      <c r="K6" s="68"/>
      <c r="L6" s="69"/>
      <c r="M6" s="73" t="s">
        <v>77</v>
      </c>
      <c r="N6" s="74">
        <f>J37</f>
        <v>40</v>
      </c>
      <c r="O6" s="75" t="s">
        <v>82</v>
      </c>
      <c r="P6" s="76"/>
      <c r="Q6" s="77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S6" s="1" t="s">
        <v>5</v>
      </c>
      <c r="AT6" s="1">
        <f>IF(N10=AS6,1,IF(N10=AS7,2,IF(N10=AS8,3,4)))</f>
        <v>4</v>
      </c>
    </row>
    <row r="7" spans="2:47" x14ac:dyDescent="0.25">
      <c r="B7" s="67"/>
      <c r="C7" s="4">
        <v>1</v>
      </c>
      <c r="D7" s="5" t="s">
        <v>78</v>
      </c>
      <c r="E7" s="6">
        <v>40</v>
      </c>
      <c r="F7" s="6">
        <v>1</v>
      </c>
      <c r="G7" s="6">
        <v>1</v>
      </c>
      <c r="H7" s="7">
        <v>1</v>
      </c>
      <c r="I7" s="79">
        <f t="shared" ref="I7:I13" si="0">IF(G7="",0,((E7/F7)*G7))</f>
        <v>40</v>
      </c>
      <c r="J7" s="80">
        <f t="shared" ref="J7:J13" si="1">I7*H7</f>
        <v>40</v>
      </c>
      <c r="K7" s="68"/>
      <c r="L7" s="69"/>
      <c r="M7" s="81" t="s">
        <v>9</v>
      </c>
      <c r="N7" s="6">
        <v>430</v>
      </c>
      <c r="O7" s="3" t="s">
        <v>3</v>
      </c>
      <c r="Q7" s="82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1">
        <f>IF(N7&lt;600,0,1)</f>
        <v>0</v>
      </c>
      <c r="AS7" s="1" t="s">
        <v>34</v>
      </c>
      <c r="AU7" s="1" t="s">
        <v>67</v>
      </c>
    </row>
    <row r="8" spans="2:47" x14ac:dyDescent="0.25">
      <c r="B8" s="67"/>
      <c r="C8" s="4"/>
      <c r="D8" s="5"/>
      <c r="E8" s="6"/>
      <c r="F8" s="6"/>
      <c r="G8" s="5"/>
      <c r="H8" s="7"/>
      <c r="I8" s="79">
        <f t="shared" si="0"/>
        <v>0</v>
      </c>
      <c r="J8" s="80">
        <f t="shared" si="1"/>
        <v>0</v>
      </c>
      <c r="K8" s="68"/>
      <c r="L8" s="69"/>
      <c r="M8" s="81" t="s">
        <v>10</v>
      </c>
      <c r="N8" s="6">
        <v>210</v>
      </c>
      <c r="O8" s="3" t="s">
        <v>3</v>
      </c>
      <c r="Q8" s="82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1">
        <f>IF(N8&lt;600,0,1)</f>
        <v>0</v>
      </c>
      <c r="AS8" s="1" t="s">
        <v>32</v>
      </c>
      <c r="AU8" s="1" t="s">
        <v>68</v>
      </c>
    </row>
    <row r="9" spans="2:47" x14ac:dyDescent="0.25">
      <c r="B9" s="67"/>
      <c r="C9" s="4"/>
      <c r="D9" s="5"/>
      <c r="E9" s="6"/>
      <c r="F9" s="6"/>
      <c r="G9" s="5"/>
      <c r="H9" s="7"/>
      <c r="I9" s="79">
        <f t="shared" si="0"/>
        <v>0</v>
      </c>
      <c r="J9" s="80">
        <f t="shared" si="1"/>
        <v>0</v>
      </c>
      <c r="K9" s="68"/>
      <c r="L9" s="69"/>
      <c r="M9" s="81" t="s">
        <v>7</v>
      </c>
      <c r="N9" s="7">
        <v>0.05</v>
      </c>
      <c r="Q9" s="82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1">
        <v>2</v>
      </c>
      <c r="AS9" s="1" t="s">
        <v>33</v>
      </c>
    </row>
    <row r="10" spans="2:47" x14ac:dyDescent="0.25">
      <c r="B10" s="67"/>
      <c r="C10" s="4"/>
      <c r="D10" s="5"/>
      <c r="E10" s="6"/>
      <c r="F10" s="6"/>
      <c r="G10" s="5"/>
      <c r="H10" s="7"/>
      <c r="I10" s="79">
        <f t="shared" si="0"/>
        <v>0</v>
      </c>
      <c r="J10" s="80">
        <f t="shared" si="1"/>
        <v>0</v>
      </c>
      <c r="K10" s="68"/>
      <c r="L10" s="69"/>
      <c r="M10" s="81" t="s">
        <v>31</v>
      </c>
      <c r="N10" s="6" t="s">
        <v>33</v>
      </c>
      <c r="Q10" s="82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1" t="b">
        <v>1</v>
      </c>
    </row>
    <row r="11" spans="2:47" ht="18.75" customHeight="1" x14ac:dyDescent="0.25">
      <c r="B11" s="67"/>
      <c r="C11" s="4"/>
      <c r="D11" s="5"/>
      <c r="E11" s="6"/>
      <c r="F11" s="6"/>
      <c r="G11" s="5"/>
      <c r="H11" s="7"/>
      <c r="I11" s="79">
        <f t="shared" si="0"/>
        <v>0</v>
      </c>
      <c r="J11" s="80">
        <f t="shared" si="1"/>
        <v>0</v>
      </c>
      <c r="K11" s="68"/>
      <c r="L11" s="69"/>
      <c r="M11" s="73" t="s">
        <v>8</v>
      </c>
      <c r="N11" s="74">
        <f>IF(N6=0,0,Sheet2!AQ3)</f>
        <v>45</v>
      </c>
      <c r="O11" s="75" t="s">
        <v>82</v>
      </c>
      <c r="P11" s="6">
        <v>20</v>
      </c>
      <c r="Q11" s="82" t="s">
        <v>79</v>
      </c>
      <c r="R11" s="78"/>
      <c r="S11" s="83">
        <f>IF(P11="",N11,P11)</f>
        <v>20</v>
      </c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1" t="b">
        <v>1</v>
      </c>
    </row>
    <row r="12" spans="2:47" ht="12.75" customHeight="1" x14ac:dyDescent="0.25">
      <c r="B12" s="67"/>
      <c r="C12" s="4"/>
      <c r="D12" s="5"/>
      <c r="E12" s="6"/>
      <c r="F12" s="6"/>
      <c r="G12" s="5"/>
      <c r="H12" s="7"/>
      <c r="I12" s="79">
        <f t="shared" si="0"/>
        <v>0</v>
      </c>
      <c r="J12" s="80">
        <f t="shared" si="1"/>
        <v>0</v>
      </c>
      <c r="K12" s="68"/>
      <c r="L12" s="69"/>
      <c r="M12" s="81" t="s">
        <v>73</v>
      </c>
      <c r="N12" s="12">
        <v>0.97299999999999998</v>
      </c>
      <c r="O12" s="84">
        <f>N12</f>
        <v>0.97299999999999998</v>
      </c>
      <c r="Q12" s="82"/>
      <c r="R12" s="78"/>
      <c r="S12" s="83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1"/>
    </row>
    <row r="13" spans="2:47" ht="12.75" customHeight="1" x14ac:dyDescent="0.25">
      <c r="B13" s="67"/>
      <c r="C13" s="4"/>
      <c r="D13" s="5"/>
      <c r="E13" s="6"/>
      <c r="F13" s="6"/>
      <c r="G13" s="5"/>
      <c r="H13" s="7"/>
      <c r="I13" s="79">
        <f t="shared" si="0"/>
        <v>0</v>
      </c>
      <c r="J13" s="80">
        <f t="shared" si="1"/>
        <v>0</v>
      </c>
      <c r="K13" s="68"/>
      <c r="L13" s="69"/>
      <c r="M13" s="81" t="s">
        <v>74</v>
      </c>
      <c r="N13" s="12">
        <v>0.96199999999999997</v>
      </c>
      <c r="O13" s="84">
        <f>N13</f>
        <v>0.96199999999999997</v>
      </c>
      <c r="Q13" s="82"/>
      <c r="R13" s="78"/>
      <c r="S13" s="83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1"/>
    </row>
    <row r="14" spans="2:47" ht="16.5" customHeight="1" x14ac:dyDescent="0.25">
      <c r="B14" s="67"/>
      <c r="C14" s="4"/>
      <c r="D14" s="5"/>
      <c r="E14" s="6"/>
      <c r="F14" s="6"/>
      <c r="G14" s="5"/>
      <c r="H14" s="7"/>
      <c r="I14" s="79">
        <f t="shared" ref="I14:I34" si="2">IF(G14="",0,((E14/F14)*G14))</f>
        <v>0</v>
      </c>
      <c r="J14" s="80">
        <f t="shared" ref="J14:J34" si="3">I14*H14</f>
        <v>0</v>
      </c>
      <c r="K14" s="68"/>
      <c r="L14" s="69"/>
      <c r="M14" s="81" t="s">
        <v>47</v>
      </c>
      <c r="O14" s="1"/>
      <c r="P14" s="1"/>
      <c r="Q14" s="8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2:47" ht="15" customHeight="1" x14ac:dyDescent="0.25">
      <c r="B15" s="67"/>
      <c r="C15" s="4"/>
      <c r="D15" s="5"/>
      <c r="E15" s="6"/>
      <c r="F15" s="6"/>
      <c r="G15" s="5"/>
      <c r="H15" s="7"/>
      <c r="I15" s="79">
        <f t="shared" si="2"/>
        <v>0</v>
      </c>
      <c r="J15" s="80">
        <f t="shared" si="3"/>
        <v>0</v>
      </c>
      <c r="K15" s="68"/>
      <c r="L15" s="69"/>
      <c r="M15" s="81" t="str">
        <f>IF(N7&lt;600,"Provide Protection on Transformer:","")</f>
        <v>Provide Protection on Transformer:</v>
      </c>
      <c r="N15" s="2" t="s">
        <v>68</v>
      </c>
      <c r="P15" s="1"/>
      <c r="Q15" s="8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7" ht="21.75" customHeight="1" x14ac:dyDescent="0.25">
      <c r="B16" s="67"/>
      <c r="C16" s="4"/>
      <c r="D16" s="5"/>
      <c r="E16" s="6"/>
      <c r="F16" s="6"/>
      <c r="G16" s="5"/>
      <c r="H16" s="7"/>
      <c r="I16" s="79">
        <f t="shared" si="2"/>
        <v>0</v>
      </c>
      <c r="J16" s="80">
        <f t="shared" si="3"/>
        <v>0</v>
      </c>
      <c r="K16" s="68"/>
      <c r="L16" s="69"/>
      <c r="M16" s="86" t="s">
        <v>66</v>
      </c>
      <c r="N16" s="87"/>
      <c r="O16" s="88"/>
      <c r="P16" s="88"/>
      <c r="Q16" s="8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R16" s="1">
        <v>1</v>
      </c>
      <c r="AS16" s="1">
        <v>2</v>
      </c>
      <c r="AT16" s="1">
        <v>3</v>
      </c>
      <c r="AU16" s="1">
        <v>4</v>
      </c>
    </row>
    <row r="17" spans="2:47" ht="18" x14ac:dyDescent="0.25">
      <c r="B17" s="67"/>
      <c r="C17" s="4"/>
      <c r="D17" s="5"/>
      <c r="E17" s="6"/>
      <c r="F17" s="6"/>
      <c r="G17" s="5"/>
      <c r="H17" s="7"/>
      <c r="I17" s="79">
        <f>IF(G17="",0,((E17/F17)*G17))</f>
        <v>0</v>
      </c>
      <c r="J17" s="80">
        <f>I17*H17</f>
        <v>0</v>
      </c>
      <c r="K17" s="68"/>
      <c r="L17" s="69"/>
      <c r="M17" s="120" t="s">
        <v>85</v>
      </c>
      <c r="N17" s="120"/>
      <c r="O17" s="120"/>
      <c r="P17" s="120"/>
      <c r="Q17" s="12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R17" s="1">
        <v>1</v>
      </c>
      <c r="AS17" s="1">
        <v>2</v>
      </c>
      <c r="AT17" s="1">
        <v>3</v>
      </c>
      <c r="AU17" s="1">
        <v>4</v>
      </c>
    </row>
    <row r="18" spans="2:47" ht="15.75" customHeight="1" x14ac:dyDescent="0.25">
      <c r="B18" s="67"/>
      <c r="C18" s="4"/>
      <c r="D18" s="5"/>
      <c r="E18" s="6"/>
      <c r="F18" s="6"/>
      <c r="G18" s="5"/>
      <c r="H18" s="7"/>
      <c r="I18" s="79">
        <f t="shared" si="2"/>
        <v>0</v>
      </c>
      <c r="J18" s="80">
        <f t="shared" si="3"/>
        <v>0</v>
      </c>
      <c r="K18" s="68"/>
      <c r="L18" s="69"/>
      <c r="M18" s="117" t="s">
        <v>76</v>
      </c>
      <c r="N18" s="118"/>
      <c r="O18" s="118"/>
      <c r="P18" s="118"/>
      <c r="Q18" s="11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R18" s="1" t="s">
        <v>5</v>
      </c>
      <c r="AS18" s="1" t="s">
        <v>36</v>
      </c>
      <c r="AT18" s="1" t="s">
        <v>35</v>
      </c>
      <c r="AU18" s="1" t="s">
        <v>37</v>
      </c>
    </row>
    <row r="19" spans="2:47" ht="12.75" customHeight="1" x14ac:dyDescent="0.25">
      <c r="B19" s="67"/>
      <c r="C19" s="4"/>
      <c r="D19" s="5"/>
      <c r="E19" s="6"/>
      <c r="F19" s="6"/>
      <c r="G19" s="5"/>
      <c r="H19" s="7"/>
      <c r="I19" s="79">
        <f t="shared" si="2"/>
        <v>0</v>
      </c>
      <c r="J19" s="80">
        <f t="shared" si="3"/>
        <v>0</v>
      </c>
      <c r="K19" s="68"/>
      <c r="L19" s="69"/>
      <c r="M19" s="81" t="s">
        <v>38</v>
      </c>
      <c r="N19" s="90">
        <f t="shared" ref="N19:N26" si="4">AQ19</f>
        <v>430</v>
      </c>
      <c r="O19" s="3" t="s">
        <v>3</v>
      </c>
      <c r="P19" s="78"/>
      <c r="Q19" s="91"/>
      <c r="R19" s="7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Q19" s="92">
        <f>HLOOKUP($AT$6,$AR$17:$AU$26,3,0)</f>
        <v>430</v>
      </c>
      <c r="AR19" s="1">
        <f>N7</f>
        <v>430</v>
      </c>
      <c r="AS19" s="1">
        <f>N7</f>
        <v>430</v>
      </c>
      <c r="AT19" s="1">
        <f>N7</f>
        <v>430</v>
      </c>
      <c r="AU19" s="1">
        <f>AS19</f>
        <v>430</v>
      </c>
    </row>
    <row r="20" spans="2:47" ht="12.75" customHeight="1" x14ac:dyDescent="0.25">
      <c r="B20" s="67"/>
      <c r="C20" s="4"/>
      <c r="D20" s="5"/>
      <c r="E20" s="6"/>
      <c r="F20" s="6"/>
      <c r="G20" s="5"/>
      <c r="H20" s="7"/>
      <c r="I20" s="79">
        <f t="shared" si="2"/>
        <v>0</v>
      </c>
      <c r="J20" s="80">
        <f t="shared" si="3"/>
        <v>0</v>
      </c>
      <c r="K20" s="68"/>
      <c r="L20" s="69"/>
      <c r="M20" s="81" t="s">
        <v>39</v>
      </c>
      <c r="N20" s="90">
        <f t="shared" si="4"/>
        <v>430</v>
      </c>
      <c r="O20" s="3" t="s">
        <v>3</v>
      </c>
      <c r="P20" s="78"/>
      <c r="Q20" s="91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Q20" s="92">
        <f>HLOOKUP($AT$6,$AR$17:$AU$26,4,0)</f>
        <v>430</v>
      </c>
      <c r="AR20" s="92">
        <f>AR19/1.732</f>
        <v>248.26789838337183</v>
      </c>
      <c r="AS20" s="1">
        <f>AS19</f>
        <v>430</v>
      </c>
      <c r="AT20" s="92">
        <f>AR20</f>
        <v>248.26789838337183</v>
      </c>
      <c r="AU20" s="1">
        <f>AS20</f>
        <v>430</v>
      </c>
    </row>
    <row r="21" spans="2:47" ht="12.75" customHeight="1" x14ac:dyDescent="0.25">
      <c r="B21" s="67"/>
      <c r="C21" s="4"/>
      <c r="D21" s="5"/>
      <c r="E21" s="6"/>
      <c r="F21" s="6"/>
      <c r="G21" s="5"/>
      <c r="H21" s="7"/>
      <c r="I21" s="79">
        <f t="shared" si="2"/>
        <v>0</v>
      </c>
      <c r="J21" s="80">
        <f t="shared" si="3"/>
        <v>0</v>
      </c>
      <c r="K21" s="68"/>
      <c r="L21" s="69"/>
      <c r="M21" s="81" t="s">
        <v>40</v>
      </c>
      <c r="N21" s="90">
        <f t="shared" si="4"/>
        <v>26.854288629894196</v>
      </c>
      <c r="O21" s="3" t="s">
        <v>4</v>
      </c>
      <c r="P21" s="78"/>
      <c r="Q21" s="91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Q21" s="92">
        <f>HLOOKUP($AT$6,$AR$17:$AU$26,5,0)</f>
        <v>26.854288629894196</v>
      </c>
      <c r="AR21" s="92">
        <f>(S11*1000)/(1.732*N7)</f>
        <v>26.854288629894196</v>
      </c>
      <c r="AS21" s="92">
        <f>AR21</f>
        <v>26.854288629894196</v>
      </c>
      <c r="AT21" s="92">
        <f>AR21</f>
        <v>26.854288629894196</v>
      </c>
      <c r="AU21" s="92">
        <f>AS21</f>
        <v>26.854288629894196</v>
      </c>
    </row>
    <row r="22" spans="2:47" ht="12.75" customHeight="1" x14ac:dyDescent="0.25">
      <c r="B22" s="67"/>
      <c r="C22" s="4"/>
      <c r="D22" s="5"/>
      <c r="E22" s="6"/>
      <c r="F22" s="6"/>
      <c r="G22" s="5"/>
      <c r="H22" s="7"/>
      <c r="I22" s="79">
        <f t="shared" si="2"/>
        <v>0</v>
      </c>
      <c r="J22" s="80">
        <f t="shared" si="3"/>
        <v>0</v>
      </c>
      <c r="K22" s="68"/>
      <c r="L22" s="69"/>
      <c r="M22" s="81" t="s">
        <v>41</v>
      </c>
      <c r="N22" s="90">
        <f t="shared" si="4"/>
        <v>15.504785583079791</v>
      </c>
      <c r="O22" s="3" t="s">
        <v>4</v>
      </c>
      <c r="P22" s="78"/>
      <c r="Q22" s="91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Q22" s="92">
        <f>HLOOKUP($AT$6,$AR$17:$AU$26,6,0)</f>
        <v>15.504785583079791</v>
      </c>
      <c r="AR22" s="92">
        <f>AR21</f>
        <v>26.854288629894196</v>
      </c>
      <c r="AS22" s="92">
        <f>AS21/1.732</f>
        <v>15.504785583079791</v>
      </c>
      <c r="AT22" s="92">
        <f>AR22</f>
        <v>26.854288629894196</v>
      </c>
      <c r="AU22" s="92">
        <f>AS22</f>
        <v>15.504785583079791</v>
      </c>
    </row>
    <row r="23" spans="2:47" ht="12.75" customHeight="1" x14ac:dyDescent="0.25">
      <c r="B23" s="67"/>
      <c r="C23" s="4"/>
      <c r="D23" s="5"/>
      <c r="E23" s="6"/>
      <c r="F23" s="6"/>
      <c r="G23" s="5"/>
      <c r="H23" s="7"/>
      <c r="I23" s="79">
        <f t="shared" si="2"/>
        <v>0</v>
      </c>
      <c r="J23" s="80">
        <f t="shared" si="3"/>
        <v>0</v>
      </c>
      <c r="K23" s="68"/>
      <c r="L23" s="69"/>
      <c r="M23" s="81" t="s">
        <v>42</v>
      </c>
      <c r="N23" s="90">
        <f t="shared" si="4"/>
        <v>210</v>
      </c>
      <c r="O23" s="3" t="s">
        <v>3</v>
      </c>
      <c r="P23" s="78"/>
      <c r="Q23" s="91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Q23" s="92">
        <f>HLOOKUP($AT$6,$AR$17:$AU$26,7,0)</f>
        <v>210</v>
      </c>
      <c r="AR23" s="1">
        <f>N8</f>
        <v>210</v>
      </c>
      <c r="AS23" s="1">
        <f>N8</f>
        <v>210</v>
      </c>
      <c r="AT23" s="1">
        <f>N8</f>
        <v>210</v>
      </c>
      <c r="AU23" s="1">
        <f>AR23</f>
        <v>210</v>
      </c>
    </row>
    <row r="24" spans="2:47" ht="12.75" customHeight="1" x14ac:dyDescent="0.25">
      <c r="B24" s="67"/>
      <c r="C24" s="4"/>
      <c r="D24" s="5"/>
      <c r="E24" s="6"/>
      <c r="F24" s="6"/>
      <c r="G24" s="5"/>
      <c r="H24" s="7"/>
      <c r="I24" s="79">
        <f t="shared" si="2"/>
        <v>0</v>
      </c>
      <c r="J24" s="80">
        <f t="shared" si="3"/>
        <v>0</v>
      </c>
      <c r="K24" s="68"/>
      <c r="L24" s="69"/>
      <c r="M24" s="81" t="s">
        <v>43</v>
      </c>
      <c r="N24" s="90">
        <f t="shared" si="4"/>
        <v>121.24711316397229</v>
      </c>
      <c r="O24" s="3" t="s">
        <v>3</v>
      </c>
      <c r="P24" s="78"/>
      <c r="Q24" s="91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Q24" s="92">
        <f>HLOOKUP($AT$6,$AR$17:$AU$26,8,0)</f>
        <v>121.24711316397229</v>
      </c>
      <c r="AR24" s="92">
        <f>AR23/1.732</f>
        <v>121.24711316397229</v>
      </c>
      <c r="AS24" s="1">
        <f>AS23</f>
        <v>210</v>
      </c>
      <c r="AT24" s="1">
        <f>AS24</f>
        <v>210</v>
      </c>
      <c r="AU24" s="92">
        <f>AR24</f>
        <v>121.24711316397229</v>
      </c>
    </row>
    <row r="25" spans="2:47" x14ac:dyDescent="0.25">
      <c r="B25" s="67"/>
      <c r="C25" s="4"/>
      <c r="D25" s="5"/>
      <c r="E25" s="6"/>
      <c r="F25" s="6"/>
      <c r="G25" s="5"/>
      <c r="H25" s="7"/>
      <c r="I25" s="79">
        <f t="shared" si="2"/>
        <v>0</v>
      </c>
      <c r="J25" s="80">
        <f t="shared" si="3"/>
        <v>0</v>
      </c>
      <c r="K25" s="68"/>
      <c r="L25" s="69"/>
      <c r="M25" s="81" t="s">
        <v>45</v>
      </c>
      <c r="N25" s="93">
        <f t="shared" si="4"/>
        <v>54.987352908830971</v>
      </c>
      <c r="O25" s="3" t="s">
        <v>4</v>
      </c>
      <c r="P25" s="78"/>
      <c r="Q25" s="91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Q25" s="94">
        <f>HLOOKUP($AT$6,$AR$17:$AU$26,9,0)</f>
        <v>54.987352908830971</v>
      </c>
      <c r="AR25" s="92">
        <f>(S11*1000)/(1.732*N8)</f>
        <v>54.987352908830971</v>
      </c>
      <c r="AS25" s="92">
        <f>AR25</f>
        <v>54.987352908830971</v>
      </c>
      <c r="AT25" s="92">
        <f>AS25</f>
        <v>54.987352908830971</v>
      </c>
      <c r="AU25" s="92">
        <f>AR25</f>
        <v>54.987352908830971</v>
      </c>
    </row>
    <row r="26" spans="2:47" x14ac:dyDescent="0.25">
      <c r="B26" s="67"/>
      <c r="C26" s="4"/>
      <c r="D26" s="5"/>
      <c r="E26" s="6"/>
      <c r="F26" s="6"/>
      <c r="G26" s="5"/>
      <c r="H26" s="7"/>
      <c r="I26" s="79">
        <f t="shared" si="2"/>
        <v>0</v>
      </c>
      <c r="J26" s="80">
        <f t="shared" si="3"/>
        <v>0</v>
      </c>
      <c r="K26" s="68"/>
      <c r="L26" s="69"/>
      <c r="M26" s="86" t="s">
        <v>44</v>
      </c>
      <c r="N26" s="95">
        <f t="shared" si="4"/>
        <v>54.987352908830971</v>
      </c>
      <c r="O26" s="88" t="s">
        <v>4</v>
      </c>
      <c r="P26" s="96"/>
      <c r="Q26" s="97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Q26" s="94">
        <f>HLOOKUP($AT$6,$AR$17:$AU$26,10,0)</f>
        <v>54.987352908830971</v>
      </c>
      <c r="AR26" s="92">
        <f>AR25</f>
        <v>54.987352908830971</v>
      </c>
      <c r="AS26" s="92">
        <f>AS25/1.732</f>
        <v>31.74789428916338</v>
      </c>
      <c r="AT26" s="92">
        <f>AS26</f>
        <v>31.74789428916338</v>
      </c>
      <c r="AU26" s="92">
        <f>AR26</f>
        <v>54.987352908830971</v>
      </c>
    </row>
    <row r="27" spans="2:47" ht="18" x14ac:dyDescent="0.25">
      <c r="B27" s="67"/>
      <c r="C27" s="4"/>
      <c r="D27" s="5"/>
      <c r="E27" s="6"/>
      <c r="F27" s="6"/>
      <c r="G27" s="5"/>
      <c r="H27" s="7"/>
      <c r="I27" s="79">
        <f t="shared" si="2"/>
        <v>0</v>
      </c>
      <c r="J27" s="80">
        <f t="shared" si="3"/>
        <v>0</v>
      </c>
      <c r="K27" s="68"/>
      <c r="L27" s="69"/>
      <c r="M27" s="117" t="s">
        <v>89</v>
      </c>
      <c r="N27" s="118"/>
      <c r="O27" s="118"/>
      <c r="P27" s="118"/>
      <c r="Q27" s="119"/>
    </row>
    <row r="28" spans="2:47" x14ac:dyDescent="0.25">
      <c r="B28" s="67"/>
      <c r="C28" s="4"/>
      <c r="D28" s="5"/>
      <c r="E28" s="6"/>
      <c r="F28" s="6"/>
      <c r="G28" s="5"/>
      <c r="H28" s="7"/>
      <c r="I28" s="79">
        <f t="shared" si="2"/>
        <v>0</v>
      </c>
      <c r="J28" s="80">
        <f t="shared" si="3"/>
        <v>0</v>
      </c>
      <c r="K28" s="68"/>
      <c r="L28" s="69"/>
      <c r="M28" s="98" t="str">
        <f>IF(AO10=TRUE,"Size of Circuit Breaker on Primary Side:","")</f>
        <v>Size of Circuit Breaker on Primary Side:</v>
      </c>
      <c r="N28" s="99">
        <f>IF(N6=0,"",IF(M28="","",Sheet2!AZ11))</f>
        <v>60</v>
      </c>
      <c r="O28" s="78" t="str">
        <f>IF(N28="","","Amp")</f>
        <v>Amp</v>
      </c>
      <c r="P28" s="78"/>
      <c r="Q28" s="91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</row>
    <row r="29" spans="2:47" x14ac:dyDescent="0.25">
      <c r="B29" s="67"/>
      <c r="C29" s="4"/>
      <c r="D29" s="5"/>
      <c r="E29" s="6"/>
      <c r="F29" s="6"/>
      <c r="G29" s="5"/>
      <c r="H29" s="7"/>
      <c r="I29" s="79">
        <f t="shared" si="2"/>
        <v>0</v>
      </c>
      <c r="J29" s="80">
        <f t="shared" si="3"/>
        <v>0</v>
      </c>
      <c r="K29" s="68"/>
      <c r="L29" s="69"/>
      <c r="M29" s="98" t="str">
        <f>IF(AO11=TRUE,"Size of Fuse on Primary Side:","")</f>
        <v>Size of Fuse on Primary Side:</v>
      </c>
      <c r="N29" s="99">
        <f>IF(N6=0,"",IF(M29="","",Sheet2!BA11))</f>
        <v>60</v>
      </c>
      <c r="O29" s="78" t="str">
        <f>IF(N29="","","Amp")</f>
        <v>Amp</v>
      </c>
      <c r="P29" s="78"/>
      <c r="Q29" s="91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</row>
    <row r="30" spans="2:47" x14ac:dyDescent="0.25">
      <c r="B30" s="67"/>
      <c r="C30" s="4"/>
      <c r="D30" s="5"/>
      <c r="E30" s="6"/>
      <c r="F30" s="6"/>
      <c r="G30" s="5"/>
      <c r="H30" s="7"/>
      <c r="I30" s="79">
        <f t="shared" si="2"/>
        <v>0</v>
      </c>
      <c r="J30" s="80">
        <f t="shared" si="3"/>
        <v>0</v>
      </c>
      <c r="K30" s="68"/>
      <c r="L30" s="69"/>
      <c r="M30" s="98" t="str">
        <f>IF(AO10=TRUE,"Size of Circuit Breaker on Secondary Side:","")</f>
        <v>Size of Circuit Breaker on Secondary Side:</v>
      </c>
      <c r="N30" s="83">
        <f>IF(N6=0,"",IF(M30="","",Sheet2!BB11))</f>
        <v>60</v>
      </c>
      <c r="O30" s="78" t="str">
        <f>IF(N30="","","Amp")</f>
        <v>Amp</v>
      </c>
      <c r="P30" s="78"/>
      <c r="Q30" s="91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</row>
    <row r="31" spans="2:47" x14ac:dyDescent="0.25">
      <c r="B31" s="67"/>
      <c r="C31" s="4"/>
      <c r="D31" s="5"/>
      <c r="E31" s="6"/>
      <c r="F31" s="6"/>
      <c r="G31" s="5"/>
      <c r="H31" s="7"/>
      <c r="I31" s="79">
        <f t="shared" si="2"/>
        <v>0</v>
      </c>
      <c r="J31" s="80">
        <f t="shared" si="3"/>
        <v>0</v>
      </c>
      <c r="K31" s="68"/>
      <c r="L31" s="69"/>
      <c r="M31" s="100" t="str">
        <f>IF(AO11=TRUE,"Size of Fuse on Secondary Side:","")</f>
        <v>Size of Fuse on Secondary Side:</v>
      </c>
      <c r="N31" s="101">
        <f>IF(N6=0,"",IF(M31="","",Sheet2!BC11))</f>
        <v>60</v>
      </c>
      <c r="O31" s="96" t="str">
        <f>IF(N31="","","Amp")</f>
        <v>Amp</v>
      </c>
      <c r="P31" s="96"/>
      <c r="Q31" s="97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</row>
    <row r="32" spans="2:47" ht="18" x14ac:dyDescent="0.25">
      <c r="B32" s="67"/>
      <c r="C32" s="4"/>
      <c r="D32" s="5"/>
      <c r="E32" s="6"/>
      <c r="F32" s="6"/>
      <c r="G32" s="5"/>
      <c r="H32" s="7"/>
      <c r="I32" s="79">
        <f t="shared" si="2"/>
        <v>0</v>
      </c>
      <c r="J32" s="80">
        <f t="shared" si="3"/>
        <v>0</v>
      </c>
      <c r="K32" s="68"/>
      <c r="L32" s="69"/>
      <c r="M32" s="117" t="s">
        <v>75</v>
      </c>
      <c r="N32" s="118"/>
      <c r="O32" s="118"/>
      <c r="P32" s="118"/>
      <c r="Q32" s="119"/>
    </row>
    <row r="33" spans="2:17" x14ac:dyDescent="0.25">
      <c r="B33" s="67"/>
      <c r="C33" s="4"/>
      <c r="D33" s="5"/>
      <c r="E33" s="6"/>
      <c r="F33" s="6"/>
      <c r="G33" s="5"/>
      <c r="H33" s="7"/>
      <c r="I33" s="79">
        <f t="shared" si="2"/>
        <v>0</v>
      </c>
      <c r="J33" s="80">
        <f t="shared" si="3"/>
        <v>0</v>
      </c>
      <c r="K33" s="68"/>
      <c r="L33" s="69"/>
      <c r="M33" s="81" t="s">
        <v>50</v>
      </c>
      <c r="N33" s="92">
        <f>((1-(O12))/O12)*(S11*1000)</f>
        <v>554.9845837615627</v>
      </c>
      <c r="O33" s="3" t="s">
        <v>48</v>
      </c>
      <c r="Q33" s="82"/>
    </row>
    <row r="34" spans="2:17" x14ac:dyDescent="0.25">
      <c r="B34" s="67"/>
      <c r="C34" s="8"/>
      <c r="D34" s="9"/>
      <c r="E34" s="10"/>
      <c r="F34" s="10"/>
      <c r="G34" s="9"/>
      <c r="H34" s="11"/>
      <c r="I34" s="102">
        <f t="shared" si="2"/>
        <v>0</v>
      </c>
      <c r="J34" s="103">
        <f t="shared" si="3"/>
        <v>0</v>
      </c>
      <c r="K34" s="68"/>
      <c r="L34" s="69"/>
      <c r="M34" s="81" t="s">
        <v>51</v>
      </c>
      <c r="N34" s="92">
        <f>((1-(O13))/O13)*((S11*1000)/4)</f>
        <v>197.50519750519769</v>
      </c>
      <c r="O34" s="3" t="s">
        <v>48</v>
      </c>
      <c r="Q34" s="82"/>
    </row>
    <row r="35" spans="2:17" ht="18" x14ac:dyDescent="0.25">
      <c r="B35" s="67"/>
      <c r="C35" s="3"/>
      <c r="D35" s="3"/>
      <c r="E35" s="3"/>
      <c r="F35" s="3"/>
      <c r="G35" s="3"/>
      <c r="H35" s="115" t="s">
        <v>87</v>
      </c>
      <c r="I35" s="115"/>
      <c r="J35" s="74">
        <f>SUM(J7:J34)</f>
        <v>40</v>
      </c>
      <c r="K35" s="68"/>
      <c r="L35" s="69"/>
      <c r="M35" s="81" t="s">
        <v>49</v>
      </c>
      <c r="N35" s="92">
        <f>(N33-N34)/(1-(1/16))</f>
        <v>381.31134534012273</v>
      </c>
      <c r="O35" s="3" t="s">
        <v>48</v>
      </c>
      <c r="Q35" s="82"/>
    </row>
    <row r="36" spans="2:17" x14ac:dyDescent="0.25">
      <c r="B36" s="67"/>
      <c r="C36" s="3"/>
      <c r="D36" s="3"/>
      <c r="E36" s="3"/>
      <c r="F36" s="3"/>
      <c r="G36" s="3"/>
      <c r="H36" s="116" t="s">
        <v>72</v>
      </c>
      <c r="I36" s="116"/>
      <c r="J36" s="13">
        <v>1</v>
      </c>
      <c r="K36" s="68"/>
      <c r="L36" s="69"/>
      <c r="M36" s="86" t="s">
        <v>52</v>
      </c>
      <c r="N36" s="104">
        <f>N33-N35</f>
        <v>173.67323842143998</v>
      </c>
      <c r="O36" s="88" t="s">
        <v>48</v>
      </c>
      <c r="P36" s="88"/>
      <c r="Q36" s="89"/>
    </row>
    <row r="37" spans="2:17" ht="19.5" customHeight="1" thickBot="1" x14ac:dyDescent="0.3">
      <c r="B37" s="105"/>
      <c r="C37" s="106"/>
      <c r="D37" s="106"/>
      <c r="E37" s="106"/>
      <c r="F37" s="106"/>
      <c r="G37" s="106"/>
      <c r="H37" s="114" t="s">
        <v>88</v>
      </c>
      <c r="I37" s="114"/>
      <c r="J37" s="107">
        <f>J35*J36</f>
        <v>40</v>
      </c>
      <c r="K37" s="108"/>
      <c r="L37" s="69"/>
    </row>
    <row r="38" spans="2:17" x14ac:dyDescent="0.25">
      <c r="C38" s="3"/>
      <c r="D38" s="3"/>
      <c r="E38" s="3"/>
      <c r="F38" s="3"/>
      <c r="G38" s="3"/>
      <c r="H38" s="3"/>
      <c r="I38" s="3"/>
      <c r="J38" s="3"/>
      <c r="K38" s="3"/>
      <c r="N38" s="3"/>
    </row>
  </sheetData>
  <sheetProtection algorithmName="SHA-512" hashValue="L24+ZM4eF7kodUXG4mfz44EBTAdtj/KtEdpS9adEBSLBHP1e3Vg1Lt59hto3hxamJIby82Fgh2UBaO/wyMr07Q==" saltValue="Qg9+GvrIGmmv26Zmbgjy9A==" spinCount="100000" sheet="1" objects="1" scenarios="1" insertHyperlinks="0"/>
  <mergeCells count="11">
    <mergeCell ref="C2:Q3"/>
    <mergeCell ref="C1:E1"/>
    <mergeCell ref="H37:I37"/>
    <mergeCell ref="H35:I35"/>
    <mergeCell ref="H36:I36"/>
    <mergeCell ref="M27:Q27"/>
    <mergeCell ref="M32:Q32"/>
    <mergeCell ref="M18:Q18"/>
    <mergeCell ref="M17:Q17"/>
    <mergeCell ref="M5:Q5"/>
    <mergeCell ref="C5:J5"/>
  </mergeCells>
  <conditionalFormatting sqref="N15">
    <cfRule type="expression" dxfId="1" priority="3">
      <formula>$AO$7=1</formula>
    </cfRule>
    <cfRule type="expression" dxfId="0" priority="4">
      <formula>$AO$7=0</formula>
    </cfRule>
  </conditionalFormatting>
  <dataValidations count="2">
    <dataValidation type="list" allowBlank="1" showInputMessage="1" showErrorMessage="1" sqref="N15" xr:uid="{00000000-0002-0000-0000-000000000000}">
      <formula1>$AU$6:$AU$8</formula1>
    </dataValidation>
    <dataValidation type="list" allowBlank="1" showInputMessage="1" showErrorMessage="1" sqref="N10" xr:uid="{00000000-0002-0000-0000-000001000000}">
      <formula1>$AS$6:$AS$9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13</xdr:col>
                    <xdr:colOff>9525</xdr:colOff>
                    <xdr:row>13</xdr:row>
                    <xdr:rowOff>0</xdr:rowOff>
                  </from>
                  <to>
                    <xdr:col>13</xdr:col>
                    <xdr:colOff>933450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14</xdr:col>
                    <xdr:colOff>295275</xdr:colOff>
                    <xdr:row>12</xdr:row>
                    <xdr:rowOff>152400</xdr:rowOff>
                  </from>
                  <to>
                    <xdr:col>16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12</xdr:col>
                    <xdr:colOff>2867025</xdr:colOff>
                    <xdr:row>15</xdr:row>
                    <xdr:rowOff>38100</xdr:rowOff>
                  </from>
                  <to>
                    <xdr:col>13</xdr:col>
                    <xdr:colOff>990600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14</xdr:col>
                    <xdr:colOff>342900</xdr:colOff>
                    <xdr:row>15</xdr:row>
                    <xdr:rowOff>38100</xdr:rowOff>
                  </from>
                  <to>
                    <xdr:col>16</xdr:col>
                    <xdr:colOff>133350</xdr:colOff>
                    <xdr:row>15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2:BJ122"/>
  <sheetViews>
    <sheetView showGridLines="0" zoomScale="90" zoomScaleNormal="90" workbookViewId="0">
      <selection sqref="A1:XFD1048576"/>
    </sheetView>
  </sheetViews>
  <sheetFormatPr defaultRowHeight="15" x14ac:dyDescent="0.3"/>
  <cols>
    <col min="1" max="1" width="6" style="14" customWidth="1"/>
    <col min="2" max="2" width="4.140625" style="14" customWidth="1"/>
    <col min="3" max="3" width="28.140625" style="14" customWidth="1"/>
    <col min="4" max="4" width="4.42578125" style="14" customWidth="1"/>
    <col min="5" max="5" width="6.85546875" style="14" customWidth="1"/>
    <col min="6" max="6" width="3.85546875" style="14" customWidth="1"/>
    <col min="7" max="7" width="30.85546875" style="14" customWidth="1"/>
    <col min="8" max="8" width="4.28515625" style="14" customWidth="1"/>
    <col min="9" max="36" width="9.140625" style="14"/>
    <col min="37" max="37" width="17.28515625" style="15" hidden="1" customWidth="1"/>
    <col min="38" max="38" width="21.42578125" style="15" hidden="1" customWidth="1"/>
    <col min="39" max="39" width="17.28515625" style="16" hidden="1" customWidth="1"/>
    <col min="40" max="40" width="21.42578125" style="15" hidden="1" customWidth="1"/>
    <col min="41" max="41" width="2.5703125" style="16" hidden="1" customWidth="1"/>
    <col min="42" max="42" width="9.42578125" style="15" hidden="1" customWidth="1"/>
    <col min="43" max="43" width="21.85546875" style="15" hidden="1" customWidth="1"/>
    <col min="44" max="45" width="0" style="16" hidden="1" customWidth="1"/>
    <col min="46" max="46" width="16" style="16" hidden="1" customWidth="1"/>
    <col min="47" max="47" width="14.85546875" style="16" hidden="1" customWidth="1"/>
    <col min="48" max="55" width="0" style="16" hidden="1" customWidth="1"/>
    <col min="56" max="56" width="0" style="17" hidden="1" customWidth="1"/>
    <col min="57" max="60" width="9.140625" style="17"/>
    <col min="61" max="62" width="9.140625" style="16"/>
    <col min="63" max="16384" width="9.140625" style="14"/>
  </cols>
  <sheetData>
    <row r="2" spans="3:62" ht="19.5" customHeight="1" x14ac:dyDescent="0.3">
      <c r="C2" s="142" t="s">
        <v>91</v>
      </c>
      <c r="D2" s="142"/>
      <c r="E2" s="142"/>
      <c r="F2" s="142"/>
      <c r="G2" s="142"/>
      <c r="AQ2" s="15">
        <f>IFERROR(AP4,0)</f>
        <v>0</v>
      </c>
    </row>
    <row r="3" spans="3:62" ht="6.75" customHeight="1" x14ac:dyDescent="0.3">
      <c r="AP3" s="15">
        <f>'TC-C.B-Fuse'!N6</f>
        <v>40</v>
      </c>
      <c r="AQ3" s="15">
        <f>IF(AQ2=0,AR4,AQ4)</f>
        <v>45</v>
      </c>
    </row>
    <row r="4" spans="3:62" ht="5.25" customHeight="1" x14ac:dyDescent="0.3">
      <c r="AK4" s="140" t="s">
        <v>24</v>
      </c>
      <c r="AL4" s="140"/>
      <c r="AM4" s="140" t="s">
        <v>11</v>
      </c>
      <c r="AN4" s="140"/>
      <c r="AP4" s="15" t="e">
        <f>MATCH(AP3,Sheet2!AP6:AP54,0)</f>
        <v>#N/A</v>
      </c>
      <c r="AQ4" s="15">
        <f>VLOOKUP('TC-C.B-Fuse'!N6,Sheet2!AP6:AQ54,2,TRUE)</f>
        <v>37.5</v>
      </c>
      <c r="AR4" s="15">
        <f>VLOOKUP('TC-C.B-Fuse'!N6,Sheet2!AP6:AR54,3,TRUE)</f>
        <v>45</v>
      </c>
    </row>
    <row r="5" spans="3:62" s="19" customFormat="1" ht="54" x14ac:dyDescent="0.25">
      <c r="C5" s="18" t="s">
        <v>92</v>
      </c>
      <c r="G5" s="18" t="s">
        <v>93</v>
      </c>
      <c r="AK5" s="127" t="s">
        <v>6</v>
      </c>
      <c r="AL5" s="127"/>
      <c r="AM5" s="127" t="s">
        <v>6</v>
      </c>
      <c r="AN5" s="127"/>
      <c r="AO5" s="20"/>
      <c r="AP5" s="127" t="s">
        <v>2</v>
      </c>
      <c r="AQ5" s="127"/>
      <c r="AR5" s="127"/>
      <c r="AS5" s="20"/>
      <c r="AT5" s="21">
        <f>'TC-C.B-Fuse'!AO9</f>
        <v>2</v>
      </c>
      <c r="AU5" s="127" t="s">
        <v>13</v>
      </c>
      <c r="AV5" s="127"/>
      <c r="AW5" s="128" t="s">
        <v>22</v>
      </c>
      <c r="AX5" s="129"/>
      <c r="AY5" s="20"/>
      <c r="AZ5" s="22">
        <f>'TC-C.B-Fuse'!AO7</f>
        <v>0</v>
      </c>
      <c r="BA5" s="20"/>
      <c r="BB5" s="20"/>
      <c r="BC5" s="20"/>
      <c r="BD5" s="23"/>
      <c r="BE5" s="23"/>
      <c r="BF5" s="23"/>
      <c r="BG5" s="23"/>
      <c r="BH5" s="23"/>
      <c r="BI5" s="20"/>
      <c r="BJ5" s="20"/>
    </row>
    <row r="6" spans="3:62" x14ac:dyDescent="0.3">
      <c r="C6" s="24">
        <v>1</v>
      </c>
      <c r="G6" s="24">
        <v>1</v>
      </c>
      <c r="AE6" s="19"/>
      <c r="AK6" s="25">
        <f>IF(G6="","",G6)</f>
        <v>1</v>
      </c>
      <c r="AL6" s="25">
        <f>IF(AK6="","",AK6)</f>
        <v>1</v>
      </c>
      <c r="AM6" s="25">
        <f>IF(G6="","",G6)</f>
        <v>1</v>
      </c>
      <c r="AN6" s="25">
        <f>IF(AM6="","",AM6)</f>
        <v>1</v>
      </c>
      <c r="AP6" s="25">
        <f>IF(C6="","",C6)</f>
        <v>1</v>
      </c>
      <c r="AQ6" s="25">
        <f>IF(AP6="","",AP6)</f>
        <v>1</v>
      </c>
      <c r="AR6" s="25">
        <f>IF(AP6="","",IF(AP7="",AP6,AP7))</f>
        <v>3</v>
      </c>
      <c r="AT6" s="25"/>
      <c r="AU6" s="25" t="s">
        <v>23</v>
      </c>
      <c r="AV6" s="25" t="s">
        <v>14</v>
      </c>
      <c r="AW6" s="25" t="s">
        <v>23</v>
      </c>
      <c r="AX6" s="25" t="s">
        <v>14</v>
      </c>
    </row>
    <row r="7" spans="3:62" x14ac:dyDescent="0.3">
      <c r="C7" s="24">
        <v>3</v>
      </c>
      <c r="G7" s="24">
        <v>3</v>
      </c>
      <c r="AE7" s="19"/>
      <c r="AK7" s="25">
        <f t="shared" ref="AK7:AK60" si="0">IF(G7="","",G7)</f>
        <v>3</v>
      </c>
      <c r="AL7" s="25">
        <f>IF(AK7="","",IF(AK8="",AK7,AK8))</f>
        <v>6</v>
      </c>
      <c r="AM7" s="25">
        <f t="shared" ref="AM7:AM60" si="1">IF(G7="","",G7)</f>
        <v>3</v>
      </c>
      <c r="AN7" s="25">
        <f t="shared" ref="AN7:AN60" si="2">IF(AM7="","",AM7)</f>
        <v>3</v>
      </c>
      <c r="AP7" s="25">
        <f t="shared" ref="AP7:AP32" si="3">IF(C7="","",C7)</f>
        <v>3</v>
      </c>
      <c r="AQ7" s="25">
        <f t="shared" ref="AQ7:AQ54" si="4">IF(AP7="","",AP7)</f>
        <v>3</v>
      </c>
      <c r="AR7" s="21">
        <f>IF(AP7="","",IF(AP8="",AP7,AP8))</f>
        <v>6</v>
      </c>
      <c r="AT7" s="25">
        <v>1</v>
      </c>
      <c r="AU7" s="26">
        <f>AX33</f>
        <v>6</v>
      </c>
      <c r="AV7" s="26">
        <f>AZ33</f>
        <v>3</v>
      </c>
      <c r="AW7" s="26">
        <f>AX34</f>
        <v>2.5</v>
      </c>
      <c r="AX7" s="26">
        <f>AZ34</f>
        <v>2.5</v>
      </c>
      <c r="AY7" s="27"/>
      <c r="AZ7" s="27"/>
    </row>
    <row r="8" spans="3:62" x14ac:dyDescent="0.3">
      <c r="C8" s="24">
        <v>6</v>
      </c>
      <c r="G8" s="24">
        <v>6</v>
      </c>
      <c r="AE8" s="19"/>
      <c r="AK8" s="25">
        <f t="shared" si="0"/>
        <v>6</v>
      </c>
      <c r="AL8" s="25">
        <f t="shared" ref="AL8:AL59" si="5">IF(AK8="","",IF(AK9="",AK8,AK9))</f>
        <v>10</v>
      </c>
      <c r="AM8" s="25">
        <f t="shared" si="1"/>
        <v>6</v>
      </c>
      <c r="AN8" s="25">
        <f t="shared" si="2"/>
        <v>6</v>
      </c>
      <c r="AP8" s="25">
        <f t="shared" si="3"/>
        <v>6</v>
      </c>
      <c r="AQ8" s="25">
        <f t="shared" si="4"/>
        <v>6</v>
      </c>
      <c r="AR8" s="21">
        <f t="shared" ref="AR8:AR54" si="6">IF(AP8="","",IF(AP9="",AP8,AP9))</f>
        <v>9</v>
      </c>
      <c r="AT8" s="25">
        <v>2</v>
      </c>
      <c r="AU8" s="26">
        <f>AX39</f>
        <v>6</v>
      </c>
      <c r="AV8" s="26">
        <f>AZ39</f>
        <v>3</v>
      </c>
      <c r="AW8" s="26">
        <f>AX40</f>
        <v>1.25</v>
      </c>
      <c r="AX8" s="26">
        <f>AZ40</f>
        <v>1.25</v>
      </c>
    </row>
    <row r="9" spans="3:62" x14ac:dyDescent="0.3">
      <c r="C9" s="24">
        <v>9</v>
      </c>
      <c r="G9" s="24">
        <v>10</v>
      </c>
      <c r="AE9" s="19"/>
      <c r="AK9" s="25">
        <f t="shared" si="0"/>
        <v>10</v>
      </c>
      <c r="AL9" s="25">
        <f t="shared" si="5"/>
        <v>15</v>
      </c>
      <c r="AM9" s="25">
        <f t="shared" si="1"/>
        <v>10</v>
      </c>
      <c r="AN9" s="25">
        <f t="shared" si="2"/>
        <v>10</v>
      </c>
      <c r="AP9" s="25">
        <f t="shared" si="3"/>
        <v>9</v>
      </c>
      <c r="AQ9" s="25">
        <f t="shared" si="4"/>
        <v>9</v>
      </c>
      <c r="AR9" s="21">
        <f t="shared" si="6"/>
        <v>15</v>
      </c>
      <c r="AT9" s="28"/>
      <c r="AU9" s="29">
        <f>IF('TC-C.B-Fuse'!AO9=1,Sheet2!AU7,Sheet2!AU8)</f>
        <v>6</v>
      </c>
      <c r="AV9" s="29">
        <f>IF('TC-C.B-Fuse'!AO9=1,Sheet2!AV7,AV8)</f>
        <v>3</v>
      </c>
      <c r="AW9" s="29">
        <f>IF('TC-C.B-Fuse'!AO9=1,AW7,AW8)</f>
        <v>1.25</v>
      </c>
      <c r="AX9" s="29">
        <f>IF('TC-C.B-Fuse'!AO9=1,AX7,AX8)</f>
        <v>1.25</v>
      </c>
      <c r="AZ9" s="127" t="s">
        <v>13</v>
      </c>
      <c r="BA9" s="127"/>
      <c r="BB9" s="128" t="s">
        <v>22</v>
      </c>
      <c r="BC9" s="129"/>
    </row>
    <row r="10" spans="3:62" x14ac:dyDescent="0.3">
      <c r="C10" s="24">
        <v>15</v>
      </c>
      <c r="G10" s="24">
        <v>15</v>
      </c>
      <c r="AE10" s="19"/>
      <c r="AK10" s="25">
        <f t="shared" si="0"/>
        <v>15</v>
      </c>
      <c r="AL10" s="25">
        <f t="shared" si="5"/>
        <v>20</v>
      </c>
      <c r="AM10" s="25">
        <f t="shared" si="1"/>
        <v>15</v>
      </c>
      <c r="AN10" s="25">
        <f t="shared" si="2"/>
        <v>15</v>
      </c>
      <c r="AP10" s="25">
        <f t="shared" si="3"/>
        <v>15</v>
      </c>
      <c r="AQ10" s="25">
        <f t="shared" si="4"/>
        <v>15</v>
      </c>
      <c r="AR10" s="21">
        <f t="shared" si="6"/>
        <v>25</v>
      </c>
      <c r="AU10" s="30">
        <f>'TC-C.B-Fuse'!N21*Sheet2!AU9</f>
        <v>161.12573177936517</v>
      </c>
      <c r="AV10" s="30">
        <f>'TC-C.B-Fuse'!N21*Sheet2!AV9</f>
        <v>80.562865889682584</v>
      </c>
      <c r="AW10" s="30">
        <f>'TC-C.B-Fuse'!N25*Sheet2!AW9</f>
        <v>68.734191136038717</v>
      </c>
      <c r="AX10" s="30">
        <f>'TC-C.B-Fuse'!N25*Sheet2!AX9</f>
        <v>68.734191136038717</v>
      </c>
      <c r="AZ10" s="25" t="s">
        <v>23</v>
      </c>
      <c r="BA10" s="25" t="s">
        <v>14</v>
      </c>
      <c r="BB10" s="25" t="s">
        <v>23</v>
      </c>
      <c r="BC10" s="25" t="s">
        <v>14</v>
      </c>
    </row>
    <row r="11" spans="3:62" x14ac:dyDescent="0.3">
      <c r="C11" s="24">
        <v>25</v>
      </c>
      <c r="G11" s="24">
        <v>20</v>
      </c>
      <c r="AE11" s="19"/>
      <c r="AK11" s="25">
        <f t="shared" si="0"/>
        <v>20</v>
      </c>
      <c r="AL11" s="25">
        <f t="shared" si="5"/>
        <v>25</v>
      </c>
      <c r="AM11" s="25">
        <f t="shared" si="1"/>
        <v>20</v>
      </c>
      <c r="AN11" s="25">
        <f t="shared" si="2"/>
        <v>20</v>
      </c>
      <c r="AP11" s="25">
        <f t="shared" si="3"/>
        <v>25</v>
      </c>
      <c r="AQ11" s="25">
        <f t="shared" si="4"/>
        <v>25</v>
      </c>
      <c r="AR11" s="21">
        <f t="shared" si="6"/>
        <v>30</v>
      </c>
      <c r="AU11" s="31">
        <f>IF(AT5=1,(VLOOKUP(AU10,AM6:AN60,2,TRUE)),(VLOOKUP(AU10,AK6:AL60,2,TRUE)))</f>
        <v>175</v>
      </c>
      <c r="AV11" s="31">
        <f>IF(AT5=1,(VLOOKUP(AV10,AM6:AN60,2,TRUE)),(VLOOKUP(AV10,AK6:AL60,2,TRUE)))</f>
        <v>90</v>
      </c>
      <c r="AW11" s="31">
        <f>IF(AT5=1,(VLOOKUP(AW10,AM6:AN60,2,TRUE)),(VLOOKUP(AW10,AK6:AL60,2,TRUE)))</f>
        <v>70</v>
      </c>
      <c r="AX11" s="31">
        <f>IF(AT5=1,(VLOOKUP(AX10,AM6:AN60,2,TRUE)),(VLOOKUP(AX10,AK6:AL60,2,TRUE)))</f>
        <v>70</v>
      </c>
      <c r="AZ11" s="32">
        <f>IF($AZ$5=1,AU11,AV121)</f>
        <v>60</v>
      </c>
      <c r="BA11" s="32">
        <f>IF($AZ$5=1,AV11,AV121)</f>
        <v>60</v>
      </c>
      <c r="BB11" s="32">
        <f>IF($AZ$5=1,AW11,AW121)</f>
        <v>60</v>
      </c>
      <c r="BC11" s="32">
        <f>IF($AZ$5=1,AX11,AW121)</f>
        <v>60</v>
      </c>
    </row>
    <row r="12" spans="3:62" x14ac:dyDescent="0.3">
      <c r="C12" s="24">
        <v>30</v>
      </c>
      <c r="G12" s="24">
        <v>25</v>
      </c>
      <c r="AE12" s="19"/>
      <c r="AK12" s="25">
        <f t="shared" si="0"/>
        <v>25</v>
      </c>
      <c r="AL12" s="25">
        <f t="shared" si="5"/>
        <v>30</v>
      </c>
      <c r="AM12" s="25">
        <f t="shared" si="1"/>
        <v>25</v>
      </c>
      <c r="AN12" s="25">
        <f t="shared" si="2"/>
        <v>25</v>
      </c>
      <c r="AP12" s="25">
        <f t="shared" si="3"/>
        <v>30</v>
      </c>
      <c r="AQ12" s="25">
        <f t="shared" si="4"/>
        <v>30</v>
      </c>
      <c r="AR12" s="21">
        <f t="shared" si="6"/>
        <v>37.5</v>
      </c>
    </row>
    <row r="13" spans="3:62" x14ac:dyDescent="0.3">
      <c r="C13" s="24">
        <v>37.5</v>
      </c>
      <c r="G13" s="24">
        <v>30</v>
      </c>
      <c r="AE13" s="19"/>
      <c r="AK13" s="25">
        <f t="shared" si="0"/>
        <v>30</v>
      </c>
      <c r="AL13" s="25">
        <f t="shared" si="5"/>
        <v>35</v>
      </c>
      <c r="AM13" s="25">
        <f t="shared" si="1"/>
        <v>30</v>
      </c>
      <c r="AN13" s="25">
        <f t="shared" si="2"/>
        <v>30</v>
      </c>
      <c r="AP13" s="25">
        <f t="shared" si="3"/>
        <v>37.5</v>
      </c>
      <c r="AQ13" s="25">
        <f t="shared" si="4"/>
        <v>37.5</v>
      </c>
      <c r="AR13" s="21">
        <f t="shared" si="6"/>
        <v>45</v>
      </c>
    </row>
    <row r="14" spans="3:62" x14ac:dyDescent="0.3">
      <c r="C14" s="24">
        <v>45</v>
      </c>
      <c r="G14" s="24">
        <v>35</v>
      </c>
      <c r="AE14" s="19"/>
      <c r="AK14" s="25">
        <f t="shared" si="0"/>
        <v>35</v>
      </c>
      <c r="AL14" s="25">
        <f t="shared" si="5"/>
        <v>40</v>
      </c>
      <c r="AM14" s="25">
        <f t="shared" si="1"/>
        <v>35</v>
      </c>
      <c r="AN14" s="25">
        <f t="shared" si="2"/>
        <v>35</v>
      </c>
      <c r="AP14" s="25">
        <f t="shared" si="3"/>
        <v>45</v>
      </c>
      <c r="AQ14" s="25">
        <f t="shared" si="4"/>
        <v>45</v>
      </c>
      <c r="AR14" s="21">
        <f t="shared" si="6"/>
        <v>50</v>
      </c>
    </row>
    <row r="15" spans="3:62" x14ac:dyDescent="0.3">
      <c r="C15" s="24">
        <v>50</v>
      </c>
      <c r="G15" s="24">
        <v>40</v>
      </c>
      <c r="AE15" s="19"/>
      <c r="AK15" s="25">
        <f t="shared" si="0"/>
        <v>40</v>
      </c>
      <c r="AL15" s="25">
        <f t="shared" si="5"/>
        <v>45</v>
      </c>
      <c r="AM15" s="25">
        <f t="shared" si="1"/>
        <v>40</v>
      </c>
      <c r="AN15" s="25">
        <f t="shared" si="2"/>
        <v>40</v>
      </c>
      <c r="AP15" s="25">
        <f t="shared" si="3"/>
        <v>50</v>
      </c>
      <c r="AQ15" s="25">
        <f t="shared" si="4"/>
        <v>50</v>
      </c>
      <c r="AR15" s="21">
        <f t="shared" si="6"/>
        <v>75</v>
      </c>
      <c r="AU15" s="130" t="s">
        <v>20</v>
      </c>
      <c r="AV15" s="130"/>
      <c r="AW15" s="130"/>
      <c r="AX15" s="130"/>
      <c r="AY15" s="130" t="s">
        <v>11</v>
      </c>
      <c r="AZ15" s="130"/>
    </row>
    <row r="16" spans="3:62" ht="15" customHeight="1" x14ac:dyDescent="0.3">
      <c r="C16" s="24">
        <v>75</v>
      </c>
      <c r="G16" s="24">
        <v>45</v>
      </c>
      <c r="AE16" s="19"/>
      <c r="AK16" s="25">
        <f t="shared" si="0"/>
        <v>45</v>
      </c>
      <c r="AL16" s="25">
        <f t="shared" si="5"/>
        <v>50</v>
      </c>
      <c r="AM16" s="25">
        <f t="shared" si="1"/>
        <v>45</v>
      </c>
      <c r="AN16" s="25">
        <f t="shared" si="2"/>
        <v>45</v>
      </c>
      <c r="AP16" s="25">
        <f t="shared" si="3"/>
        <v>75</v>
      </c>
      <c r="AQ16" s="25">
        <f t="shared" si="4"/>
        <v>75</v>
      </c>
      <c r="AR16" s="21">
        <f t="shared" si="6"/>
        <v>112.5</v>
      </c>
      <c r="AU16" s="135" t="s">
        <v>12</v>
      </c>
      <c r="AV16" s="131" t="s">
        <v>13</v>
      </c>
      <c r="AW16" s="131"/>
      <c r="AX16" s="132" t="s">
        <v>16</v>
      </c>
      <c r="AY16" s="133"/>
      <c r="AZ16" s="134"/>
    </row>
    <row r="17" spans="3:52" x14ac:dyDescent="0.3">
      <c r="C17" s="24">
        <v>112.5</v>
      </c>
      <c r="G17" s="24">
        <v>50</v>
      </c>
      <c r="AE17" s="19"/>
      <c r="AK17" s="25">
        <f t="shared" si="0"/>
        <v>50</v>
      </c>
      <c r="AL17" s="25">
        <f t="shared" si="5"/>
        <v>60</v>
      </c>
      <c r="AM17" s="25">
        <f t="shared" si="1"/>
        <v>50</v>
      </c>
      <c r="AN17" s="25">
        <f t="shared" si="2"/>
        <v>50</v>
      </c>
      <c r="AP17" s="25">
        <f t="shared" si="3"/>
        <v>112.5</v>
      </c>
      <c r="AQ17" s="25">
        <f t="shared" si="4"/>
        <v>112.5</v>
      </c>
      <c r="AR17" s="21">
        <f t="shared" si="6"/>
        <v>150</v>
      </c>
      <c r="AU17" s="136"/>
      <c r="AV17" s="130" t="s">
        <v>17</v>
      </c>
      <c r="AW17" s="130"/>
      <c r="AX17" s="130" t="s">
        <v>17</v>
      </c>
      <c r="AY17" s="130"/>
      <c r="AZ17" s="28" t="s">
        <v>18</v>
      </c>
    </row>
    <row r="18" spans="3:52" x14ac:dyDescent="0.3">
      <c r="C18" s="24">
        <v>150</v>
      </c>
      <c r="G18" s="24">
        <v>60</v>
      </c>
      <c r="AE18" s="19"/>
      <c r="AK18" s="25">
        <f t="shared" si="0"/>
        <v>60</v>
      </c>
      <c r="AL18" s="25">
        <f t="shared" si="5"/>
        <v>70</v>
      </c>
      <c r="AM18" s="25">
        <f t="shared" si="1"/>
        <v>60</v>
      </c>
      <c r="AN18" s="25">
        <f t="shared" si="2"/>
        <v>60</v>
      </c>
      <c r="AP18" s="25">
        <f t="shared" si="3"/>
        <v>150</v>
      </c>
      <c r="AQ18" s="25">
        <f t="shared" si="4"/>
        <v>150</v>
      </c>
      <c r="AR18" s="21">
        <f t="shared" si="6"/>
        <v>225</v>
      </c>
      <c r="AU18" s="136"/>
      <c r="AV18" s="28" t="s">
        <v>15</v>
      </c>
      <c r="AW18" s="28" t="s">
        <v>14</v>
      </c>
      <c r="AX18" s="28" t="s">
        <v>15</v>
      </c>
      <c r="AY18" s="28" t="s">
        <v>14</v>
      </c>
      <c r="AZ18" s="28" t="s">
        <v>19</v>
      </c>
    </row>
    <row r="19" spans="3:52" x14ac:dyDescent="0.3">
      <c r="C19" s="24">
        <v>225</v>
      </c>
      <c r="G19" s="24">
        <v>70</v>
      </c>
      <c r="AE19" s="19"/>
      <c r="AK19" s="25">
        <f t="shared" si="0"/>
        <v>70</v>
      </c>
      <c r="AL19" s="25">
        <f t="shared" si="5"/>
        <v>80</v>
      </c>
      <c r="AM19" s="25">
        <f t="shared" si="1"/>
        <v>70</v>
      </c>
      <c r="AN19" s="25">
        <f t="shared" si="2"/>
        <v>70</v>
      </c>
      <c r="AP19" s="25">
        <f t="shared" si="3"/>
        <v>225</v>
      </c>
      <c r="AQ19" s="25">
        <f t="shared" si="4"/>
        <v>225</v>
      </c>
      <c r="AR19" s="21">
        <f t="shared" si="6"/>
        <v>300</v>
      </c>
      <c r="AU19" s="137"/>
      <c r="AV19" s="28"/>
      <c r="AW19" s="28"/>
      <c r="AX19" s="28"/>
      <c r="AY19" s="28"/>
      <c r="AZ19" s="28"/>
    </row>
    <row r="20" spans="3:52" x14ac:dyDescent="0.3">
      <c r="C20" s="24">
        <v>300</v>
      </c>
      <c r="G20" s="24">
        <v>80</v>
      </c>
      <c r="AE20" s="19"/>
      <c r="AK20" s="25">
        <f t="shared" si="0"/>
        <v>80</v>
      </c>
      <c r="AL20" s="25">
        <f t="shared" si="5"/>
        <v>90</v>
      </c>
      <c r="AM20" s="25">
        <f t="shared" si="1"/>
        <v>80</v>
      </c>
      <c r="AN20" s="25">
        <f t="shared" si="2"/>
        <v>80</v>
      </c>
      <c r="AP20" s="25">
        <f t="shared" si="3"/>
        <v>300</v>
      </c>
      <c r="AQ20" s="25">
        <f t="shared" si="4"/>
        <v>300</v>
      </c>
      <c r="AR20" s="21">
        <f t="shared" si="6"/>
        <v>500</v>
      </c>
      <c r="AU20" s="33">
        <v>0.01</v>
      </c>
      <c r="AV20" s="34">
        <v>6</v>
      </c>
      <c r="AW20" s="34">
        <v>3</v>
      </c>
      <c r="AX20" s="34">
        <v>3</v>
      </c>
      <c r="AY20" s="34">
        <v>2.5</v>
      </c>
      <c r="AZ20" s="34">
        <v>2.5</v>
      </c>
    </row>
    <row r="21" spans="3:52" x14ac:dyDescent="0.3">
      <c r="C21" s="24">
        <v>500</v>
      </c>
      <c r="G21" s="24">
        <v>90</v>
      </c>
      <c r="AE21" s="19"/>
      <c r="AK21" s="25">
        <f t="shared" si="0"/>
        <v>90</v>
      </c>
      <c r="AL21" s="25">
        <f t="shared" si="5"/>
        <v>100</v>
      </c>
      <c r="AM21" s="25">
        <f t="shared" si="1"/>
        <v>90</v>
      </c>
      <c r="AN21" s="25">
        <f t="shared" si="2"/>
        <v>90</v>
      </c>
      <c r="AP21" s="25">
        <f t="shared" si="3"/>
        <v>500</v>
      </c>
      <c r="AQ21" s="25">
        <f t="shared" si="4"/>
        <v>500</v>
      </c>
      <c r="AR21" s="21">
        <f t="shared" si="6"/>
        <v>750</v>
      </c>
      <c r="AU21" s="33">
        <v>0.02</v>
      </c>
      <c r="AV21" s="34">
        <v>6</v>
      </c>
      <c r="AW21" s="34">
        <v>3</v>
      </c>
      <c r="AX21" s="34">
        <v>3</v>
      </c>
      <c r="AY21" s="34">
        <v>2.5</v>
      </c>
      <c r="AZ21" s="34">
        <v>2.5</v>
      </c>
    </row>
    <row r="22" spans="3:52" x14ac:dyDescent="0.3">
      <c r="C22" s="24">
        <v>750</v>
      </c>
      <c r="G22" s="24">
        <v>100</v>
      </c>
      <c r="AE22" s="19"/>
      <c r="AK22" s="25">
        <f t="shared" si="0"/>
        <v>100</v>
      </c>
      <c r="AL22" s="25">
        <f t="shared" si="5"/>
        <v>110</v>
      </c>
      <c r="AM22" s="25">
        <f t="shared" si="1"/>
        <v>100</v>
      </c>
      <c r="AN22" s="25">
        <f t="shared" si="2"/>
        <v>100</v>
      </c>
      <c r="AP22" s="25">
        <f t="shared" si="3"/>
        <v>750</v>
      </c>
      <c r="AQ22" s="25">
        <f t="shared" si="4"/>
        <v>750</v>
      </c>
      <c r="AR22" s="21">
        <f t="shared" si="6"/>
        <v>1000</v>
      </c>
      <c r="AU22" s="33">
        <v>0.03</v>
      </c>
      <c r="AV22" s="34">
        <v>6</v>
      </c>
      <c r="AW22" s="34">
        <v>3</v>
      </c>
      <c r="AX22" s="34">
        <v>3</v>
      </c>
      <c r="AY22" s="34">
        <v>2.5</v>
      </c>
      <c r="AZ22" s="34">
        <v>2.5</v>
      </c>
    </row>
    <row r="23" spans="3:52" x14ac:dyDescent="0.3">
      <c r="C23" s="24">
        <v>1000</v>
      </c>
      <c r="G23" s="24">
        <v>110</v>
      </c>
      <c r="AE23" s="19"/>
      <c r="AK23" s="25">
        <f t="shared" si="0"/>
        <v>110</v>
      </c>
      <c r="AL23" s="25">
        <f t="shared" si="5"/>
        <v>125</v>
      </c>
      <c r="AM23" s="25">
        <f t="shared" si="1"/>
        <v>110</v>
      </c>
      <c r="AN23" s="25">
        <f t="shared" si="2"/>
        <v>110</v>
      </c>
      <c r="AP23" s="25">
        <f t="shared" si="3"/>
        <v>1000</v>
      </c>
      <c r="AQ23" s="25">
        <f t="shared" si="4"/>
        <v>1000</v>
      </c>
      <c r="AR23" s="21">
        <f t="shared" si="6"/>
        <v>1500</v>
      </c>
      <c r="AU23" s="33">
        <v>0.04</v>
      </c>
      <c r="AV23" s="34">
        <v>6</v>
      </c>
      <c r="AW23" s="34">
        <v>3</v>
      </c>
      <c r="AX23" s="34">
        <v>3</v>
      </c>
      <c r="AY23" s="34">
        <v>2.5</v>
      </c>
      <c r="AZ23" s="34">
        <v>2.5</v>
      </c>
    </row>
    <row r="24" spans="3:52" x14ac:dyDescent="0.3">
      <c r="C24" s="24">
        <v>1500</v>
      </c>
      <c r="G24" s="24">
        <v>125</v>
      </c>
      <c r="AE24" s="19"/>
      <c r="AK24" s="25">
        <f t="shared" si="0"/>
        <v>125</v>
      </c>
      <c r="AL24" s="25">
        <f t="shared" si="5"/>
        <v>150</v>
      </c>
      <c r="AM24" s="25">
        <f t="shared" si="1"/>
        <v>125</v>
      </c>
      <c r="AN24" s="25">
        <f t="shared" si="2"/>
        <v>125</v>
      </c>
      <c r="AP24" s="25">
        <f t="shared" si="3"/>
        <v>1500</v>
      </c>
      <c r="AQ24" s="25">
        <f t="shared" si="4"/>
        <v>1500</v>
      </c>
      <c r="AR24" s="21">
        <f t="shared" si="6"/>
        <v>2000</v>
      </c>
      <c r="AU24" s="33">
        <v>0.05</v>
      </c>
      <c r="AV24" s="34">
        <v>6</v>
      </c>
      <c r="AW24" s="34">
        <v>3</v>
      </c>
      <c r="AX24" s="34">
        <v>3</v>
      </c>
      <c r="AY24" s="34">
        <v>2.5</v>
      </c>
      <c r="AZ24" s="34">
        <v>2.5</v>
      </c>
    </row>
    <row r="25" spans="3:52" x14ac:dyDescent="0.3">
      <c r="C25" s="24">
        <v>2000</v>
      </c>
      <c r="G25" s="24">
        <v>150</v>
      </c>
      <c r="AE25" s="19"/>
      <c r="AK25" s="25">
        <f t="shared" si="0"/>
        <v>150</v>
      </c>
      <c r="AL25" s="25">
        <f t="shared" si="5"/>
        <v>160</v>
      </c>
      <c r="AM25" s="25">
        <f t="shared" si="1"/>
        <v>150</v>
      </c>
      <c r="AN25" s="25">
        <f t="shared" si="2"/>
        <v>150</v>
      </c>
      <c r="AP25" s="25">
        <f t="shared" si="3"/>
        <v>2000</v>
      </c>
      <c r="AQ25" s="25">
        <f t="shared" si="4"/>
        <v>2000</v>
      </c>
      <c r="AR25" s="21">
        <f t="shared" si="6"/>
        <v>2500</v>
      </c>
      <c r="AU25" s="33">
        <v>0.06</v>
      </c>
      <c r="AV25" s="34">
        <v>6</v>
      </c>
      <c r="AW25" s="34">
        <v>3</v>
      </c>
      <c r="AX25" s="34">
        <v>3</v>
      </c>
      <c r="AY25" s="34">
        <v>2.5</v>
      </c>
      <c r="AZ25" s="34">
        <v>2.5</v>
      </c>
    </row>
    <row r="26" spans="3:52" x14ac:dyDescent="0.3">
      <c r="C26" s="24">
        <v>2500</v>
      </c>
      <c r="G26" s="24">
        <v>160</v>
      </c>
      <c r="AE26" s="19"/>
      <c r="AK26" s="25">
        <f t="shared" si="0"/>
        <v>160</v>
      </c>
      <c r="AL26" s="25">
        <f t="shared" si="5"/>
        <v>175</v>
      </c>
      <c r="AM26" s="25">
        <f t="shared" si="1"/>
        <v>160</v>
      </c>
      <c r="AN26" s="25">
        <f t="shared" si="2"/>
        <v>160</v>
      </c>
      <c r="AP26" s="25">
        <f t="shared" si="3"/>
        <v>2500</v>
      </c>
      <c r="AQ26" s="25">
        <f t="shared" si="4"/>
        <v>2500</v>
      </c>
      <c r="AR26" s="21">
        <f t="shared" si="6"/>
        <v>3750</v>
      </c>
      <c r="AU26" s="33">
        <v>7.0000000000000007E-2</v>
      </c>
      <c r="AV26" s="34">
        <v>4</v>
      </c>
      <c r="AW26" s="34">
        <v>3</v>
      </c>
      <c r="AX26" s="34">
        <v>2.5</v>
      </c>
      <c r="AY26" s="34">
        <v>2.25</v>
      </c>
      <c r="AZ26" s="34">
        <v>2.5</v>
      </c>
    </row>
    <row r="27" spans="3:52" x14ac:dyDescent="0.3">
      <c r="C27" s="24">
        <v>3750</v>
      </c>
      <c r="G27" s="24">
        <v>175</v>
      </c>
      <c r="AE27" s="19"/>
      <c r="AK27" s="25">
        <f t="shared" si="0"/>
        <v>175</v>
      </c>
      <c r="AL27" s="25">
        <f t="shared" si="5"/>
        <v>200</v>
      </c>
      <c r="AM27" s="25">
        <f t="shared" si="1"/>
        <v>175</v>
      </c>
      <c r="AN27" s="25">
        <f t="shared" si="2"/>
        <v>175</v>
      </c>
      <c r="AP27" s="25">
        <f t="shared" si="3"/>
        <v>3750</v>
      </c>
      <c r="AQ27" s="25">
        <f t="shared" si="4"/>
        <v>3750</v>
      </c>
      <c r="AR27" s="21">
        <f t="shared" si="6"/>
        <v>5000</v>
      </c>
      <c r="AU27" s="33">
        <v>0.08</v>
      </c>
      <c r="AV27" s="34">
        <v>4</v>
      </c>
      <c r="AW27" s="34">
        <v>3</v>
      </c>
      <c r="AX27" s="34">
        <v>2.5</v>
      </c>
      <c r="AY27" s="34">
        <v>2.25</v>
      </c>
      <c r="AZ27" s="34">
        <v>2.5</v>
      </c>
    </row>
    <row r="28" spans="3:52" x14ac:dyDescent="0.3">
      <c r="C28" s="24">
        <v>5000</v>
      </c>
      <c r="G28" s="24">
        <v>200</v>
      </c>
      <c r="AE28" s="19"/>
      <c r="AK28" s="25">
        <f t="shared" si="0"/>
        <v>200</v>
      </c>
      <c r="AL28" s="25">
        <f t="shared" si="5"/>
        <v>225</v>
      </c>
      <c r="AM28" s="25">
        <f t="shared" si="1"/>
        <v>200</v>
      </c>
      <c r="AN28" s="25">
        <f t="shared" si="2"/>
        <v>200</v>
      </c>
      <c r="AP28" s="25">
        <f t="shared" si="3"/>
        <v>5000</v>
      </c>
      <c r="AQ28" s="25">
        <f t="shared" si="4"/>
        <v>5000</v>
      </c>
      <c r="AR28" s="21">
        <f t="shared" si="6"/>
        <v>7500</v>
      </c>
      <c r="AU28" s="33">
        <v>0.09</v>
      </c>
      <c r="AV28" s="34">
        <v>4</v>
      </c>
      <c r="AW28" s="34">
        <v>3</v>
      </c>
      <c r="AX28" s="34">
        <v>2.5</v>
      </c>
      <c r="AY28" s="34">
        <v>2.25</v>
      </c>
      <c r="AZ28" s="34">
        <v>2.5</v>
      </c>
    </row>
    <row r="29" spans="3:52" x14ac:dyDescent="0.3">
      <c r="C29" s="24">
        <v>7500</v>
      </c>
      <c r="G29" s="24">
        <v>225</v>
      </c>
      <c r="AE29" s="19"/>
      <c r="AK29" s="25">
        <f t="shared" si="0"/>
        <v>225</v>
      </c>
      <c r="AL29" s="25">
        <f t="shared" si="5"/>
        <v>250</v>
      </c>
      <c r="AM29" s="25">
        <f t="shared" si="1"/>
        <v>225</v>
      </c>
      <c r="AN29" s="25">
        <f t="shared" si="2"/>
        <v>225</v>
      </c>
      <c r="AP29" s="25">
        <f t="shared" si="3"/>
        <v>7500</v>
      </c>
      <c r="AQ29" s="25">
        <f t="shared" si="4"/>
        <v>7500</v>
      </c>
      <c r="AR29" s="21">
        <f t="shared" si="6"/>
        <v>10000</v>
      </c>
      <c r="AU29" s="33">
        <v>0.1</v>
      </c>
      <c r="AV29" s="34">
        <v>4</v>
      </c>
      <c r="AW29" s="34">
        <v>3</v>
      </c>
      <c r="AX29" s="34">
        <v>2.5</v>
      </c>
      <c r="AY29" s="34">
        <v>2.25</v>
      </c>
      <c r="AZ29" s="34">
        <v>2.5</v>
      </c>
    </row>
    <row r="30" spans="3:52" x14ac:dyDescent="0.3">
      <c r="C30" s="24">
        <v>10000</v>
      </c>
      <c r="G30" s="24">
        <v>250</v>
      </c>
      <c r="AE30" s="19"/>
      <c r="AK30" s="25">
        <f t="shared" si="0"/>
        <v>250</v>
      </c>
      <c r="AL30" s="25">
        <f t="shared" si="5"/>
        <v>300</v>
      </c>
      <c r="AM30" s="25">
        <f t="shared" si="1"/>
        <v>250</v>
      </c>
      <c r="AN30" s="25">
        <f t="shared" si="2"/>
        <v>250</v>
      </c>
      <c r="AP30" s="25">
        <f t="shared" si="3"/>
        <v>10000</v>
      </c>
      <c r="AQ30" s="25">
        <f t="shared" si="4"/>
        <v>10000</v>
      </c>
      <c r="AR30" s="21">
        <f t="shared" si="6"/>
        <v>12000</v>
      </c>
    </row>
    <row r="31" spans="3:52" x14ac:dyDescent="0.3">
      <c r="C31" s="24">
        <v>12000</v>
      </c>
      <c r="G31" s="24">
        <v>300</v>
      </c>
      <c r="AE31" s="19"/>
      <c r="AK31" s="25">
        <f t="shared" si="0"/>
        <v>300</v>
      </c>
      <c r="AL31" s="25">
        <f t="shared" si="5"/>
        <v>350</v>
      </c>
      <c r="AM31" s="25">
        <f t="shared" si="1"/>
        <v>300</v>
      </c>
      <c r="AN31" s="25">
        <f t="shared" si="2"/>
        <v>300</v>
      </c>
      <c r="AP31" s="25">
        <f t="shared" si="3"/>
        <v>12000</v>
      </c>
      <c r="AQ31" s="25">
        <f t="shared" si="4"/>
        <v>12000</v>
      </c>
      <c r="AR31" s="21">
        <f t="shared" si="6"/>
        <v>15000</v>
      </c>
    </row>
    <row r="32" spans="3:52" x14ac:dyDescent="0.3">
      <c r="C32" s="24">
        <v>15000</v>
      </c>
      <c r="G32" s="24">
        <v>350</v>
      </c>
      <c r="AE32" s="19"/>
      <c r="AK32" s="25">
        <f t="shared" si="0"/>
        <v>350</v>
      </c>
      <c r="AL32" s="25">
        <f t="shared" si="5"/>
        <v>400</v>
      </c>
      <c r="AM32" s="25">
        <f t="shared" si="1"/>
        <v>350</v>
      </c>
      <c r="AN32" s="25">
        <f t="shared" si="2"/>
        <v>350</v>
      </c>
      <c r="AP32" s="25">
        <f t="shared" si="3"/>
        <v>15000</v>
      </c>
      <c r="AQ32" s="25">
        <f t="shared" si="4"/>
        <v>15000</v>
      </c>
      <c r="AR32" s="21">
        <f t="shared" si="6"/>
        <v>20000</v>
      </c>
    </row>
    <row r="33" spans="3:52" x14ac:dyDescent="0.3">
      <c r="C33" s="24">
        <v>20000</v>
      </c>
      <c r="G33" s="24">
        <v>400</v>
      </c>
      <c r="AE33" s="19"/>
      <c r="AK33" s="25">
        <f t="shared" si="0"/>
        <v>400</v>
      </c>
      <c r="AL33" s="25">
        <f t="shared" si="5"/>
        <v>450</v>
      </c>
      <c r="AM33" s="25">
        <f t="shared" si="1"/>
        <v>400</v>
      </c>
      <c r="AN33" s="25">
        <f t="shared" si="2"/>
        <v>400</v>
      </c>
      <c r="AP33" s="25">
        <f t="shared" ref="AP33:AP54" si="7">IF(C33="","",C33)</f>
        <v>20000</v>
      </c>
      <c r="AQ33" s="25">
        <f t="shared" si="4"/>
        <v>20000</v>
      </c>
      <c r="AR33" s="21">
        <f t="shared" si="6"/>
        <v>25000</v>
      </c>
      <c r="AT33" s="16" t="s">
        <v>26</v>
      </c>
      <c r="AU33" s="35">
        <f>'TC-C.B-Fuse'!N9</f>
        <v>0.05</v>
      </c>
      <c r="AV33" s="31">
        <f>'TC-C.B-Fuse'!AO7</f>
        <v>0</v>
      </c>
      <c r="AW33" s="36" t="s">
        <v>15</v>
      </c>
      <c r="AX33" s="35">
        <f>VLOOKUP(AU33,AU20:AZ29,2,TRUE)</f>
        <v>6</v>
      </c>
      <c r="AY33" s="36" t="s">
        <v>14</v>
      </c>
      <c r="AZ33" s="35">
        <f>VLOOKUP(AU33,AU20:AZ29,3,TRUE)</f>
        <v>3</v>
      </c>
    </row>
    <row r="34" spans="3:52" x14ac:dyDescent="0.3">
      <c r="C34" s="24">
        <v>25000</v>
      </c>
      <c r="G34" s="24">
        <v>450</v>
      </c>
      <c r="AE34" s="19"/>
      <c r="AK34" s="25">
        <f t="shared" si="0"/>
        <v>450</v>
      </c>
      <c r="AL34" s="25">
        <f t="shared" si="5"/>
        <v>500</v>
      </c>
      <c r="AM34" s="25">
        <f t="shared" si="1"/>
        <v>450</v>
      </c>
      <c r="AN34" s="25">
        <f t="shared" si="2"/>
        <v>450</v>
      </c>
      <c r="AP34" s="25">
        <f t="shared" si="7"/>
        <v>25000</v>
      </c>
      <c r="AQ34" s="25">
        <f t="shared" si="4"/>
        <v>25000</v>
      </c>
      <c r="AR34" s="21">
        <f t="shared" si="6"/>
        <v>30000</v>
      </c>
      <c r="AT34" s="16" t="s">
        <v>25</v>
      </c>
      <c r="AV34" s="31">
        <f>'TC-C.B-Fuse'!AO8</f>
        <v>0</v>
      </c>
      <c r="AW34" s="36" t="s">
        <v>15</v>
      </c>
      <c r="AX34" s="35">
        <f>IF(AV34=0,(VLOOKUP(AU33,AU20:AZ29,6,TRUE)),(VLOOKUP(AU33,AU20:AZ29,4,TRUE)))</f>
        <v>2.5</v>
      </c>
      <c r="AY34" s="36" t="s">
        <v>14</v>
      </c>
      <c r="AZ34" s="35">
        <f>IF(AV34=0,(VLOOKUP(AU33,AU20:AZ29,6,TRUE)),(VLOOKUP(AU33,AU20:AZ29,5,TRUE)))</f>
        <v>2.5</v>
      </c>
    </row>
    <row r="35" spans="3:52" x14ac:dyDescent="0.3">
      <c r="C35" s="24">
        <v>30000</v>
      </c>
      <c r="G35" s="24">
        <v>500</v>
      </c>
      <c r="AE35" s="19"/>
      <c r="AK35" s="25">
        <f t="shared" si="0"/>
        <v>500</v>
      </c>
      <c r="AL35" s="25">
        <f t="shared" si="5"/>
        <v>600</v>
      </c>
      <c r="AM35" s="25">
        <f t="shared" si="1"/>
        <v>500</v>
      </c>
      <c r="AN35" s="25">
        <f t="shared" si="2"/>
        <v>500</v>
      </c>
      <c r="AP35" s="25">
        <f t="shared" si="7"/>
        <v>30000</v>
      </c>
      <c r="AQ35" s="25">
        <f t="shared" si="4"/>
        <v>30000</v>
      </c>
      <c r="AR35" s="21">
        <f t="shared" si="6"/>
        <v>37500</v>
      </c>
    </row>
    <row r="36" spans="3:52" x14ac:dyDescent="0.3">
      <c r="C36" s="24">
        <v>37500</v>
      </c>
      <c r="G36" s="24">
        <v>600</v>
      </c>
      <c r="AE36" s="19"/>
      <c r="AK36" s="25">
        <f t="shared" si="0"/>
        <v>600</v>
      </c>
      <c r="AL36" s="25">
        <f t="shared" si="5"/>
        <v>700</v>
      </c>
      <c r="AM36" s="25">
        <f t="shared" si="1"/>
        <v>600</v>
      </c>
      <c r="AN36" s="25">
        <f t="shared" si="2"/>
        <v>600</v>
      </c>
      <c r="AP36" s="25">
        <f t="shared" si="7"/>
        <v>37500</v>
      </c>
      <c r="AQ36" s="25">
        <f t="shared" si="4"/>
        <v>37500</v>
      </c>
      <c r="AR36" s="21">
        <f t="shared" si="6"/>
        <v>50000</v>
      </c>
    </row>
    <row r="37" spans="3:52" x14ac:dyDescent="0.3">
      <c r="C37" s="24">
        <v>50000</v>
      </c>
      <c r="G37" s="24">
        <v>700</v>
      </c>
      <c r="AE37" s="19"/>
      <c r="AK37" s="25">
        <f t="shared" si="0"/>
        <v>700</v>
      </c>
      <c r="AL37" s="25">
        <f t="shared" si="5"/>
        <v>800</v>
      </c>
      <c r="AM37" s="25">
        <f t="shared" si="1"/>
        <v>700</v>
      </c>
      <c r="AN37" s="25">
        <f t="shared" si="2"/>
        <v>700</v>
      </c>
      <c r="AP37" s="25">
        <f t="shared" si="7"/>
        <v>50000</v>
      </c>
      <c r="AQ37" s="25">
        <f t="shared" si="4"/>
        <v>50000</v>
      </c>
      <c r="AR37" s="21">
        <f t="shared" si="6"/>
        <v>60000</v>
      </c>
    </row>
    <row r="38" spans="3:52" x14ac:dyDescent="0.3">
      <c r="C38" s="24">
        <v>60000</v>
      </c>
      <c r="G38" s="24">
        <v>800</v>
      </c>
      <c r="AE38" s="19"/>
      <c r="AK38" s="25">
        <f t="shared" si="0"/>
        <v>800</v>
      </c>
      <c r="AL38" s="25">
        <f>IF(AK38="","",IF(AK39="",AK38,AK39))</f>
        <v>1000</v>
      </c>
      <c r="AM38" s="25">
        <f t="shared" si="1"/>
        <v>800</v>
      </c>
      <c r="AN38" s="25">
        <f t="shared" si="2"/>
        <v>800</v>
      </c>
      <c r="AP38" s="25">
        <f t="shared" si="7"/>
        <v>60000</v>
      </c>
      <c r="AQ38" s="25">
        <f t="shared" si="4"/>
        <v>60000</v>
      </c>
      <c r="AR38" s="21">
        <f t="shared" si="6"/>
        <v>75000</v>
      </c>
    </row>
    <row r="39" spans="3:52" x14ac:dyDescent="0.3">
      <c r="C39" s="24">
        <v>75000</v>
      </c>
      <c r="G39" s="24">
        <v>1000</v>
      </c>
      <c r="AE39" s="19"/>
      <c r="AK39" s="25">
        <f t="shared" si="0"/>
        <v>1000</v>
      </c>
      <c r="AL39" s="25">
        <f t="shared" si="5"/>
        <v>1200</v>
      </c>
      <c r="AM39" s="25">
        <f t="shared" si="1"/>
        <v>1000</v>
      </c>
      <c r="AN39" s="25">
        <f t="shared" si="2"/>
        <v>1000</v>
      </c>
      <c r="AP39" s="25">
        <f t="shared" si="7"/>
        <v>75000</v>
      </c>
      <c r="AQ39" s="25">
        <f t="shared" si="4"/>
        <v>75000</v>
      </c>
      <c r="AR39" s="21">
        <f t="shared" si="6"/>
        <v>100000</v>
      </c>
      <c r="AT39" s="16" t="s">
        <v>26</v>
      </c>
      <c r="AU39" s="35">
        <f>'TC-C.B-Fuse'!N9</f>
        <v>0.05</v>
      </c>
      <c r="AV39" s="31">
        <f>'TC-C.B-Fuse'!AO7</f>
        <v>0</v>
      </c>
      <c r="AW39" s="36" t="s">
        <v>15</v>
      </c>
      <c r="AX39" s="35">
        <f>VLOOKUP(AU39,AU65:AZ74,2,TRUE)</f>
        <v>6</v>
      </c>
      <c r="AY39" s="36" t="s">
        <v>14</v>
      </c>
      <c r="AZ39" s="35">
        <f>VLOOKUP(AU39,AU65:AZ74,3,TRUE)</f>
        <v>3</v>
      </c>
    </row>
    <row r="40" spans="3:52" x14ac:dyDescent="0.3">
      <c r="C40" s="24">
        <v>100000</v>
      </c>
      <c r="G40" s="24">
        <v>1200</v>
      </c>
      <c r="AE40" s="19"/>
      <c r="AK40" s="25">
        <f>IF(G40="","",G40)</f>
        <v>1200</v>
      </c>
      <c r="AL40" s="25">
        <f t="shared" si="5"/>
        <v>1600</v>
      </c>
      <c r="AM40" s="25">
        <f t="shared" si="1"/>
        <v>1200</v>
      </c>
      <c r="AN40" s="25">
        <f t="shared" si="2"/>
        <v>1200</v>
      </c>
      <c r="AP40" s="25">
        <f t="shared" si="7"/>
        <v>100000</v>
      </c>
      <c r="AQ40" s="25">
        <f t="shared" si="4"/>
        <v>100000</v>
      </c>
      <c r="AR40" s="21">
        <f t="shared" si="6"/>
        <v>100000</v>
      </c>
      <c r="AT40" s="16" t="s">
        <v>25</v>
      </c>
      <c r="AV40" s="31">
        <f>'TC-C.B-Fuse'!AO8</f>
        <v>0</v>
      </c>
      <c r="AW40" s="36" t="s">
        <v>15</v>
      </c>
      <c r="AX40" s="35">
        <f>IF(AV40=0,(VLOOKUP(AU39,AU65:AZ74,6,TRUE)),(VLOOKUP(AU39,AU65:AZ74,4,TRUE)))</f>
        <v>1.25</v>
      </c>
      <c r="AY40" s="36" t="s">
        <v>14</v>
      </c>
      <c r="AZ40" s="35">
        <f>IF(AV40=0,(VLOOKUP(AU39,AU65:AZ74,6,TRUE)),(VLOOKUP(AU39,AU65:AZ74,5,TRUE)))</f>
        <v>1.25</v>
      </c>
    </row>
    <row r="41" spans="3:52" x14ac:dyDescent="0.3">
      <c r="C41" s="37"/>
      <c r="G41" s="24">
        <v>1600</v>
      </c>
      <c r="AE41" s="19"/>
      <c r="AK41" s="25">
        <f t="shared" si="0"/>
        <v>1600</v>
      </c>
      <c r="AL41" s="25">
        <f t="shared" si="5"/>
        <v>2000</v>
      </c>
      <c r="AM41" s="25">
        <f t="shared" si="1"/>
        <v>1600</v>
      </c>
      <c r="AN41" s="25">
        <f t="shared" si="2"/>
        <v>1600</v>
      </c>
      <c r="AP41" s="25" t="str">
        <f t="shared" si="7"/>
        <v/>
      </c>
      <c r="AQ41" s="25" t="str">
        <f t="shared" si="4"/>
        <v/>
      </c>
      <c r="AR41" s="21" t="str">
        <f t="shared" si="6"/>
        <v/>
      </c>
      <c r="AV41" s="31"/>
      <c r="AW41" s="36"/>
      <c r="AX41" s="35"/>
      <c r="AY41" s="36"/>
      <c r="AZ41" s="35"/>
    </row>
    <row r="42" spans="3:52" x14ac:dyDescent="0.3">
      <c r="C42" s="37"/>
      <c r="G42" s="24">
        <v>2000</v>
      </c>
      <c r="AE42" s="19"/>
      <c r="AK42" s="25">
        <f t="shared" si="0"/>
        <v>2000</v>
      </c>
      <c r="AL42" s="25">
        <f t="shared" si="5"/>
        <v>2500</v>
      </c>
      <c r="AM42" s="25">
        <f t="shared" si="1"/>
        <v>2000</v>
      </c>
      <c r="AN42" s="25">
        <f t="shared" si="2"/>
        <v>2000</v>
      </c>
      <c r="AP42" s="25" t="str">
        <f t="shared" si="7"/>
        <v/>
      </c>
      <c r="AQ42" s="25" t="str">
        <f t="shared" si="4"/>
        <v/>
      </c>
      <c r="AR42" s="21" t="str">
        <f t="shared" si="6"/>
        <v/>
      </c>
      <c r="AV42" s="31"/>
      <c r="AW42" s="36"/>
      <c r="AX42" s="35"/>
      <c r="AY42" s="36"/>
      <c r="AZ42" s="35"/>
    </row>
    <row r="43" spans="3:52" x14ac:dyDescent="0.3">
      <c r="C43" s="37"/>
      <c r="G43" s="24">
        <v>2500</v>
      </c>
      <c r="AE43" s="19"/>
      <c r="AK43" s="25">
        <f t="shared" si="0"/>
        <v>2500</v>
      </c>
      <c r="AL43" s="25">
        <f t="shared" si="5"/>
        <v>3000</v>
      </c>
      <c r="AM43" s="25">
        <f t="shared" si="1"/>
        <v>2500</v>
      </c>
      <c r="AN43" s="25">
        <f t="shared" si="2"/>
        <v>2500</v>
      </c>
      <c r="AP43" s="25" t="str">
        <f t="shared" si="7"/>
        <v/>
      </c>
      <c r="AQ43" s="25" t="str">
        <f t="shared" si="4"/>
        <v/>
      </c>
      <c r="AR43" s="21" t="str">
        <f t="shared" si="6"/>
        <v/>
      </c>
      <c r="AV43" s="31"/>
      <c r="AW43" s="36"/>
      <c r="AX43" s="35"/>
      <c r="AY43" s="36"/>
      <c r="AZ43" s="35"/>
    </row>
    <row r="44" spans="3:52" x14ac:dyDescent="0.3">
      <c r="C44" s="37"/>
      <c r="G44" s="24">
        <v>3000</v>
      </c>
      <c r="AE44" s="19"/>
      <c r="AK44" s="25">
        <f t="shared" si="0"/>
        <v>3000</v>
      </c>
      <c r="AL44" s="25">
        <f t="shared" si="5"/>
        <v>4000</v>
      </c>
      <c r="AM44" s="25">
        <f t="shared" si="1"/>
        <v>3000</v>
      </c>
      <c r="AN44" s="25">
        <f t="shared" si="2"/>
        <v>3000</v>
      </c>
      <c r="AP44" s="25" t="str">
        <f t="shared" si="7"/>
        <v/>
      </c>
      <c r="AQ44" s="25" t="str">
        <f t="shared" si="4"/>
        <v/>
      </c>
      <c r="AR44" s="21" t="str">
        <f t="shared" si="6"/>
        <v/>
      </c>
      <c r="AV44" s="31"/>
      <c r="AW44" s="36"/>
      <c r="AX44" s="35"/>
      <c r="AY44" s="36"/>
      <c r="AZ44" s="35"/>
    </row>
    <row r="45" spans="3:52" x14ac:dyDescent="0.3">
      <c r="C45" s="37"/>
      <c r="G45" s="24">
        <v>4000</v>
      </c>
      <c r="AE45" s="19"/>
      <c r="AK45" s="25">
        <f t="shared" si="0"/>
        <v>4000</v>
      </c>
      <c r="AL45" s="25">
        <f t="shared" si="5"/>
        <v>5000</v>
      </c>
      <c r="AM45" s="25">
        <f t="shared" si="1"/>
        <v>4000</v>
      </c>
      <c r="AN45" s="25">
        <f t="shared" si="2"/>
        <v>4000</v>
      </c>
      <c r="AP45" s="25" t="str">
        <f t="shared" si="7"/>
        <v/>
      </c>
      <c r="AQ45" s="25" t="str">
        <f t="shared" si="4"/>
        <v/>
      </c>
      <c r="AR45" s="21" t="str">
        <f t="shared" si="6"/>
        <v/>
      </c>
      <c r="AV45" s="31"/>
      <c r="AW45" s="36"/>
      <c r="AX45" s="35"/>
      <c r="AY45" s="36"/>
      <c r="AZ45" s="35"/>
    </row>
    <row r="46" spans="3:52" x14ac:dyDescent="0.3">
      <c r="C46" s="37"/>
      <c r="G46" s="24">
        <v>5000</v>
      </c>
      <c r="AE46" s="19"/>
      <c r="AK46" s="25">
        <f t="shared" si="0"/>
        <v>5000</v>
      </c>
      <c r="AL46" s="25">
        <f t="shared" si="5"/>
        <v>6000</v>
      </c>
      <c r="AM46" s="25">
        <f t="shared" si="1"/>
        <v>5000</v>
      </c>
      <c r="AN46" s="25">
        <f t="shared" si="2"/>
        <v>5000</v>
      </c>
      <c r="AP46" s="25" t="str">
        <f t="shared" si="7"/>
        <v/>
      </c>
      <c r="AQ46" s="25" t="str">
        <f t="shared" si="4"/>
        <v/>
      </c>
      <c r="AR46" s="21" t="str">
        <f t="shared" si="6"/>
        <v/>
      </c>
      <c r="AV46" s="31"/>
      <c r="AW46" s="36"/>
      <c r="AX46" s="35"/>
      <c r="AY46" s="36"/>
      <c r="AZ46" s="35"/>
    </row>
    <row r="47" spans="3:52" x14ac:dyDescent="0.3">
      <c r="C47" s="37"/>
      <c r="G47" s="24">
        <v>6000</v>
      </c>
      <c r="AE47" s="19"/>
      <c r="AK47" s="25">
        <f t="shared" si="0"/>
        <v>6000</v>
      </c>
      <c r="AL47" s="25">
        <f>IF(AK47="","",IF(AK48="",AK47,AK48))</f>
        <v>6000</v>
      </c>
      <c r="AM47" s="25">
        <f t="shared" si="1"/>
        <v>6000</v>
      </c>
      <c r="AN47" s="25">
        <f t="shared" si="2"/>
        <v>6000</v>
      </c>
      <c r="AP47" s="25" t="str">
        <f t="shared" si="7"/>
        <v/>
      </c>
      <c r="AQ47" s="25" t="str">
        <f t="shared" si="4"/>
        <v/>
      </c>
      <c r="AR47" s="21" t="str">
        <f t="shared" si="6"/>
        <v/>
      </c>
      <c r="AV47" s="31"/>
      <c r="AW47" s="36"/>
      <c r="AX47" s="35"/>
      <c r="AY47" s="36"/>
      <c r="AZ47" s="35"/>
    </row>
    <row r="48" spans="3:52" x14ac:dyDescent="0.3">
      <c r="C48" s="37"/>
      <c r="G48" s="37"/>
      <c r="AE48" s="19"/>
      <c r="AK48" s="25" t="str">
        <f t="shared" si="0"/>
        <v/>
      </c>
      <c r="AL48" s="25" t="str">
        <f t="shared" si="5"/>
        <v/>
      </c>
      <c r="AM48" s="25" t="str">
        <f t="shared" si="1"/>
        <v/>
      </c>
      <c r="AN48" s="25" t="str">
        <f t="shared" si="2"/>
        <v/>
      </c>
      <c r="AP48" s="25" t="str">
        <f t="shared" si="7"/>
        <v/>
      </c>
      <c r="AQ48" s="25" t="str">
        <f t="shared" si="4"/>
        <v/>
      </c>
      <c r="AR48" s="21" t="str">
        <f t="shared" si="6"/>
        <v/>
      </c>
      <c r="AV48" s="31"/>
      <c r="AW48" s="36"/>
      <c r="AX48" s="35"/>
      <c r="AY48" s="36"/>
      <c r="AZ48" s="35"/>
    </row>
    <row r="49" spans="3:53" x14ac:dyDescent="0.3">
      <c r="C49" s="37"/>
      <c r="G49" s="37"/>
      <c r="AE49" s="19"/>
      <c r="AK49" s="25" t="str">
        <f t="shared" si="0"/>
        <v/>
      </c>
      <c r="AL49" s="25" t="str">
        <f t="shared" si="5"/>
        <v/>
      </c>
      <c r="AM49" s="25" t="str">
        <f t="shared" si="1"/>
        <v/>
      </c>
      <c r="AN49" s="25" t="str">
        <f t="shared" si="2"/>
        <v/>
      </c>
      <c r="AP49" s="25" t="str">
        <f t="shared" si="7"/>
        <v/>
      </c>
      <c r="AQ49" s="25" t="str">
        <f t="shared" si="4"/>
        <v/>
      </c>
      <c r="AR49" s="21" t="str">
        <f t="shared" si="6"/>
        <v/>
      </c>
      <c r="AV49" s="31"/>
      <c r="AW49" s="36"/>
      <c r="AX49" s="35"/>
      <c r="AY49" s="36"/>
      <c r="AZ49" s="35"/>
    </row>
    <row r="50" spans="3:53" x14ac:dyDescent="0.3">
      <c r="C50" s="37"/>
      <c r="G50" s="37"/>
      <c r="AE50" s="19"/>
      <c r="AK50" s="25" t="str">
        <f t="shared" si="0"/>
        <v/>
      </c>
      <c r="AL50" s="25" t="str">
        <f t="shared" si="5"/>
        <v/>
      </c>
      <c r="AM50" s="25" t="str">
        <f t="shared" si="1"/>
        <v/>
      </c>
      <c r="AN50" s="25" t="str">
        <f t="shared" si="2"/>
        <v/>
      </c>
      <c r="AP50" s="25" t="str">
        <f t="shared" si="7"/>
        <v/>
      </c>
      <c r="AQ50" s="25" t="str">
        <f t="shared" si="4"/>
        <v/>
      </c>
      <c r="AR50" s="21" t="str">
        <f t="shared" si="6"/>
        <v/>
      </c>
      <c r="AV50" s="31"/>
      <c r="AW50" s="36"/>
      <c r="AX50" s="35"/>
      <c r="AY50" s="36"/>
      <c r="AZ50" s="35"/>
    </row>
    <row r="51" spans="3:53" x14ac:dyDescent="0.3">
      <c r="C51" s="37"/>
      <c r="G51" s="37"/>
      <c r="AK51" s="25" t="str">
        <f t="shared" si="0"/>
        <v/>
      </c>
      <c r="AL51" s="25" t="str">
        <f t="shared" si="5"/>
        <v/>
      </c>
      <c r="AM51" s="25" t="str">
        <f t="shared" si="1"/>
        <v/>
      </c>
      <c r="AN51" s="25" t="str">
        <f t="shared" si="2"/>
        <v/>
      </c>
      <c r="AP51" s="25" t="str">
        <f t="shared" si="7"/>
        <v/>
      </c>
      <c r="AQ51" s="25" t="str">
        <f t="shared" si="4"/>
        <v/>
      </c>
      <c r="AR51" s="21" t="str">
        <f t="shared" si="6"/>
        <v/>
      </c>
      <c r="AV51" s="31"/>
      <c r="AW51" s="36"/>
      <c r="AX51" s="35"/>
      <c r="AY51" s="36"/>
      <c r="AZ51" s="35"/>
    </row>
    <row r="52" spans="3:53" x14ac:dyDescent="0.3">
      <c r="C52" s="37"/>
      <c r="G52" s="37"/>
      <c r="AE52" s="14" t="str">
        <f>IF(C52="","",(C52-C51/2))</f>
        <v/>
      </c>
      <c r="AK52" s="25" t="str">
        <f t="shared" si="0"/>
        <v/>
      </c>
      <c r="AL52" s="25" t="str">
        <f t="shared" si="5"/>
        <v/>
      </c>
      <c r="AM52" s="25" t="str">
        <f t="shared" si="1"/>
        <v/>
      </c>
      <c r="AN52" s="25" t="str">
        <f t="shared" si="2"/>
        <v/>
      </c>
      <c r="AP52" s="25" t="str">
        <f t="shared" si="7"/>
        <v/>
      </c>
      <c r="AQ52" s="25" t="str">
        <f t="shared" si="4"/>
        <v/>
      </c>
      <c r="AR52" s="21" t="str">
        <f t="shared" si="6"/>
        <v/>
      </c>
      <c r="AV52" s="31"/>
      <c r="AW52" s="36"/>
      <c r="AX52" s="35"/>
      <c r="AY52" s="36"/>
      <c r="AZ52" s="35"/>
    </row>
    <row r="53" spans="3:53" x14ac:dyDescent="0.3">
      <c r="C53" s="37"/>
      <c r="G53" s="37"/>
      <c r="AK53" s="25" t="str">
        <f t="shared" si="0"/>
        <v/>
      </c>
      <c r="AL53" s="25" t="str">
        <f t="shared" si="5"/>
        <v/>
      </c>
      <c r="AM53" s="25" t="str">
        <f t="shared" si="1"/>
        <v/>
      </c>
      <c r="AN53" s="25" t="str">
        <f t="shared" si="2"/>
        <v/>
      </c>
      <c r="AP53" s="25" t="str">
        <f t="shared" si="7"/>
        <v/>
      </c>
      <c r="AQ53" s="25" t="str">
        <f t="shared" si="4"/>
        <v/>
      </c>
      <c r="AR53" s="21" t="str">
        <f t="shared" si="6"/>
        <v/>
      </c>
      <c r="AV53" s="31"/>
      <c r="AW53" s="36"/>
      <c r="AX53" s="35"/>
      <c r="AY53" s="36"/>
      <c r="AZ53" s="35"/>
    </row>
    <row r="54" spans="3:53" x14ac:dyDescent="0.3">
      <c r="C54" s="37"/>
      <c r="G54" s="37"/>
      <c r="AK54" s="25" t="str">
        <f t="shared" si="0"/>
        <v/>
      </c>
      <c r="AL54" s="25" t="str">
        <f t="shared" si="5"/>
        <v/>
      </c>
      <c r="AM54" s="25" t="str">
        <f t="shared" si="1"/>
        <v/>
      </c>
      <c r="AN54" s="25" t="str">
        <f t="shared" si="2"/>
        <v/>
      </c>
      <c r="AP54" s="25" t="str">
        <f t="shared" si="7"/>
        <v/>
      </c>
      <c r="AQ54" s="25" t="str">
        <f t="shared" si="4"/>
        <v/>
      </c>
      <c r="AR54" s="21" t="str">
        <f t="shared" si="6"/>
        <v/>
      </c>
      <c r="AV54" s="31"/>
      <c r="AW54" s="36"/>
      <c r="AX54" s="35"/>
      <c r="AY54" s="36"/>
      <c r="AZ54" s="35"/>
    </row>
    <row r="55" spans="3:53" x14ac:dyDescent="0.3">
      <c r="G55" s="37"/>
      <c r="AK55" s="25" t="str">
        <f t="shared" si="0"/>
        <v/>
      </c>
      <c r="AL55" s="25" t="str">
        <f t="shared" si="5"/>
        <v/>
      </c>
      <c r="AM55" s="25" t="str">
        <f t="shared" si="1"/>
        <v/>
      </c>
      <c r="AN55" s="25" t="str">
        <f t="shared" si="2"/>
        <v/>
      </c>
      <c r="AQ55" s="16"/>
      <c r="AV55" s="31"/>
      <c r="AW55" s="36"/>
      <c r="AX55" s="35"/>
      <c r="AY55" s="36"/>
      <c r="AZ55" s="35"/>
    </row>
    <row r="56" spans="3:53" x14ac:dyDescent="0.3">
      <c r="G56" s="37"/>
      <c r="AK56" s="25" t="str">
        <f t="shared" si="0"/>
        <v/>
      </c>
      <c r="AL56" s="25" t="str">
        <f t="shared" si="5"/>
        <v/>
      </c>
      <c r="AM56" s="25" t="str">
        <f t="shared" si="1"/>
        <v/>
      </c>
      <c r="AN56" s="25" t="str">
        <f t="shared" si="2"/>
        <v/>
      </c>
      <c r="AQ56" s="16"/>
      <c r="AV56" s="31"/>
      <c r="AW56" s="36"/>
      <c r="AX56" s="35"/>
      <c r="AY56" s="36"/>
      <c r="AZ56" s="35"/>
    </row>
    <row r="57" spans="3:53" ht="15.75" thickBot="1" x14ac:dyDescent="0.35">
      <c r="G57" s="37"/>
      <c r="AK57" s="25" t="str">
        <f t="shared" si="0"/>
        <v/>
      </c>
      <c r="AL57" s="25" t="str">
        <f t="shared" si="5"/>
        <v/>
      </c>
      <c r="AM57" s="25" t="str">
        <f t="shared" si="1"/>
        <v/>
      </c>
      <c r="AN57" s="25" t="str">
        <f t="shared" si="2"/>
        <v/>
      </c>
      <c r="AQ57" s="16"/>
      <c r="AV57" s="31"/>
      <c r="AW57" s="36"/>
      <c r="AX57" s="35"/>
      <c r="AY57" s="36"/>
      <c r="AZ57" s="35"/>
    </row>
    <row r="58" spans="3:53" x14ac:dyDescent="0.3">
      <c r="G58" s="37"/>
      <c r="AK58" s="25" t="str">
        <f t="shared" si="0"/>
        <v/>
      </c>
      <c r="AL58" s="25" t="str">
        <f t="shared" si="5"/>
        <v/>
      </c>
      <c r="AM58" s="25" t="str">
        <f t="shared" si="1"/>
        <v/>
      </c>
      <c r="AN58" s="25" t="str">
        <f t="shared" si="2"/>
        <v/>
      </c>
      <c r="AQ58" s="16"/>
      <c r="AT58" s="38"/>
      <c r="AU58" s="39"/>
      <c r="AV58" s="40"/>
      <c r="AW58" s="41"/>
      <c r="AX58" s="42"/>
      <c r="AY58" s="41"/>
      <c r="AZ58" s="42"/>
      <c r="BA58" s="43"/>
    </row>
    <row r="59" spans="3:53" x14ac:dyDescent="0.3">
      <c r="G59" s="37"/>
      <c r="AK59" s="25" t="str">
        <f t="shared" si="0"/>
        <v/>
      </c>
      <c r="AL59" s="25" t="str">
        <f t="shared" si="5"/>
        <v/>
      </c>
      <c r="AM59" s="25" t="str">
        <f t="shared" si="1"/>
        <v/>
      </c>
      <c r="AN59" s="25" t="str">
        <f t="shared" si="2"/>
        <v/>
      </c>
      <c r="AQ59" s="16"/>
      <c r="AT59" s="44"/>
      <c r="BA59" s="45"/>
    </row>
    <row r="60" spans="3:53" x14ac:dyDescent="0.3">
      <c r="G60" s="37"/>
      <c r="AK60" s="25" t="str">
        <f t="shared" si="0"/>
        <v/>
      </c>
      <c r="AL60" s="25" t="str">
        <f>IF(AK60="","",AK60)</f>
        <v/>
      </c>
      <c r="AM60" s="25" t="str">
        <f t="shared" si="1"/>
        <v/>
      </c>
      <c r="AN60" s="25" t="str">
        <f t="shared" si="2"/>
        <v/>
      </c>
      <c r="AQ60" s="16"/>
      <c r="AT60" s="44"/>
      <c r="AU60" s="138" t="s">
        <v>20</v>
      </c>
      <c r="AV60" s="141"/>
      <c r="AW60" s="141"/>
      <c r="AX60" s="139"/>
      <c r="AY60" s="138" t="s">
        <v>21</v>
      </c>
      <c r="AZ60" s="139"/>
      <c r="BA60" s="45"/>
    </row>
    <row r="61" spans="3:53" x14ac:dyDescent="0.3">
      <c r="AN61" s="16"/>
      <c r="AT61" s="44"/>
      <c r="AU61" s="135" t="s">
        <v>12</v>
      </c>
      <c r="AV61" s="132" t="s">
        <v>13</v>
      </c>
      <c r="AW61" s="134"/>
      <c r="AX61" s="132" t="s">
        <v>16</v>
      </c>
      <c r="AY61" s="133"/>
      <c r="AZ61" s="134"/>
      <c r="BA61" s="45"/>
    </row>
    <row r="62" spans="3:53" x14ac:dyDescent="0.3">
      <c r="AT62" s="44"/>
      <c r="AU62" s="136"/>
      <c r="AV62" s="138" t="s">
        <v>17</v>
      </c>
      <c r="AW62" s="139"/>
      <c r="AX62" s="138" t="s">
        <v>17</v>
      </c>
      <c r="AY62" s="139"/>
      <c r="AZ62" s="28" t="s">
        <v>18</v>
      </c>
      <c r="BA62" s="45"/>
    </row>
    <row r="63" spans="3:53" x14ac:dyDescent="0.3">
      <c r="AT63" s="44"/>
      <c r="AU63" s="136"/>
      <c r="AV63" s="28" t="s">
        <v>15</v>
      </c>
      <c r="AW63" s="28" t="s">
        <v>14</v>
      </c>
      <c r="AX63" s="28" t="s">
        <v>15</v>
      </c>
      <c r="AY63" s="28" t="s">
        <v>14</v>
      </c>
      <c r="AZ63" s="28" t="s">
        <v>19</v>
      </c>
      <c r="BA63" s="45"/>
    </row>
    <row r="64" spans="3:53" x14ac:dyDescent="0.3">
      <c r="AT64" s="44"/>
      <c r="AU64" s="137"/>
      <c r="AV64" s="28"/>
      <c r="AW64" s="28"/>
      <c r="AX64" s="28"/>
      <c r="AY64" s="28"/>
      <c r="AZ64" s="28"/>
      <c r="BA64" s="45"/>
    </row>
    <row r="65" spans="46:53" x14ac:dyDescent="0.3">
      <c r="AT65" s="44"/>
      <c r="AU65" s="33">
        <v>0.01</v>
      </c>
      <c r="AV65" s="34">
        <v>6</v>
      </c>
      <c r="AW65" s="34">
        <v>3</v>
      </c>
      <c r="AX65" s="34">
        <v>3</v>
      </c>
      <c r="AY65" s="34">
        <v>2.5</v>
      </c>
      <c r="AZ65" s="34">
        <v>1.25</v>
      </c>
      <c r="BA65" s="45"/>
    </row>
    <row r="66" spans="46:53" x14ac:dyDescent="0.3">
      <c r="AT66" s="44"/>
      <c r="AU66" s="33">
        <v>0.02</v>
      </c>
      <c r="AV66" s="34">
        <v>6</v>
      </c>
      <c r="AW66" s="34">
        <v>3</v>
      </c>
      <c r="AX66" s="34">
        <v>3</v>
      </c>
      <c r="AY66" s="34">
        <v>2.5</v>
      </c>
      <c r="AZ66" s="34">
        <v>1.25</v>
      </c>
      <c r="BA66" s="45"/>
    </row>
    <row r="67" spans="46:53" x14ac:dyDescent="0.3">
      <c r="AT67" s="44"/>
      <c r="AU67" s="33">
        <v>0.03</v>
      </c>
      <c r="AV67" s="34">
        <v>6</v>
      </c>
      <c r="AW67" s="34">
        <v>3</v>
      </c>
      <c r="AX67" s="34">
        <v>3</v>
      </c>
      <c r="AY67" s="34">
        <v>2.5</v>
      </c>
      <c r="AZ67" s="34">
        <v>1.25</v>
      </c>
      <c r="BA67" s="45"/>
    </row>
    <row r="68" spans="46:53" x14ac:dyDescent="0.3">
      <c r="AT68" s="44"/>
      <c r="AU68" s="33">
        <v>0.04</v>
      </c>
      <c r="AV68" s="34">
        <v>6</v>
      </c>
      <c r="AW68" s="34">
        <v>3</v>
      </c>
      <c r="AX68" s="34">
        <v>3</v>
      </c>
      <c r="AY68" s="34">
        <v>2.5</v>
      </c>
      <c r="AZ68" s="34">
        <v>1.25</v>
      </c>
      <c r="BA68" s="45"/>
    </row>
    <row r="69" spans="46:53" x14ac:dyDescent="0.3">
      <c r="AT69" s="44"/>
      <c r="AU69" s="33">
        <v>0.05</v>
      </c>
      <c r="AV69" s="34">
        <v>6</v>
      </c>
      <c r="AW69" s="34">
        <v>3</v>
      </c>
      <c r="AX69" s="34">
        <v>3</v>
      </c>
      <c r="AY69" s="34">
        <v>2.5</v>
      </c>
      <c r="AZ69" s="34">
        <v>1.25</v>
      </c>
      <c r="BA69" s="45"/>
    </row>
    <row r="70" spans="46:53" x14ac:dyDescent="0.3">
      <c r="AT70" s="44"/>
      <c r="AU70" s="33">
        <v>0.06</v>
      </c>
      <c r="AV70" s="34">
        <v>6</v>
      </c>
      <c r="AW70" s="34">
        <v>3</v>
      </c>
      <c r="AX70" s="34">
        <v>3</v>
      </c>
      <c r="AY70" s="34">
        <v>2.5</v>
      </c>
      <c r="AZ70" s="34">
        <v>1.25</v>
      </c>
      <c r="BA70" s="45"/>
    </row>
    <row r="71" spans="46:53" x14ac:dyDescent="0.3">
      <c r="AT71" s="44"/>
      <c r="AU71" s="33">
        <v>7.0000000000000007E-2</v>
      </c>
      <c r="AV71" s="34">
        <v>4</v>
      </c>
      <c r="AW71" s="34">
        <v>3</v>
      </c>
      <c r="AX71" s="34">
        <v>2.5</v>
      </c>
      <c r="AY71" s="34">
        <v>2.25</v>
      </c>
      <c r="AZ71" s="34">
        <v>1.25</v>
      </c>
      <c r="BA71" s="45"/>
    </row>
    <row r="72" spans="46:53" x14ac:dyDescent="0.3">
      <c r="AT72" s="44"/>
      <c r="AU72" s="33">
        <v>0.08</v>
      </c>
      <c r="AV72" s="34">
        <v>4</v>
      </c>
      <c r="AW72" s="34">
        <v>3</v>
      </c>
      <c r="AX72" s="34">
        <v>2.5</v>
      </c>
      <c r="AY72" s="34">
        <v>2.25</v>
      </c>
      <c r="AZ72" s="34">
        <v>1.25</v>
      </c>
      <c r="BA72" s="45"/>
    </row>
    <row r="73" spans="46:53" x14ac:dyDescent="0.3">
      <c r="AT73" s="44"/>
      <c r="AU73" s="33">
        <v>0.09</v>
      </c>
      <c r="AV73" s="34">
        <v>4</v>
      </c>
      <c r="AW73" s="34">
        <v>3</v>
      </c>
      <c r="AX73" s="34">
        <v>2.5</v>
      </c>
      <c r="AY73" s="34">
        <v>2.25</v>
      </c>
      <c r="AZ73" s="34">
        <v>1.25</v>
      </c>
      <c r="BA73" s="45"/>
    </row>
    <row r="74" spans="46:53" x14ac:dyDescent="0.3">
      <c r="AT74" s="44"/>
      <c r="AU74" s="33">
        <v>0.1</v>
      </c>
      <c r="AV74" s="34">
        <v>4</v>
      </c>
      <c r="AW74" s="34">
        <v>3</v>
      </c>
      <c r="AX74" s="34">
        <v>2.5</v>
      </c>
      <c r="AY74" s="34">
        <v>2.25</v>
      </c>
      <c r="AZ74" s="34">
        <v>1.25</v>
      </c>
      <c r="BA74" s="45"/>
    </row>
    <row r="75" spans="46:53" x14ac:dyDescent="0.3">
      <c r="AT75" s="44"/>
      <c r="BA75" s="45"/>
    </row>
    <row r="76" spans="46:53" x14ac:dyDescent="0.3">
      <c r="AT76" s="44"/>
      <c r="BA76" s="45"/>
    </row>
    <row r="77" spans="46:53" x14ac:dyDescent="0.3">
      <c r="AT77" s="44"/>
      <c r="BA77" s="45"/>
    </row>
    <row r="78" spans="46:53" x14ac:dyDescent="0.3">
      <c r="AT78" s="44"/>
      <c r="BA78" s="45"/>
    </row>
    <row r="79" spans="46:53" ht="30" customHeight="1" x14ac:dyDescent="0.3">
      <c r="AT79" s="44"/>
      <c r="AU79" s="143" t="s">
        <v>53</v>
      </c>
      <c r="AV79" s="144"/>
      <c r="AW79" s="144"/>
      <c r="AX79" s="144"/>
      <c r="AY79" s="144"/>
      <c r="AZ79" s="145"/>
      <c r="BA79" s="45"/>
    </row>
    <row r="80" spans="46:53" ht="15" customHeight="1" x14ac:dyDescent="0.3">
      <c r="AT80" s="44"/>
      <c r="AU80" s="46" t="s">
        <v>54</v>
      </c>
      <c r="AV80" s="146" t="s">
        <v>56</v>
      </c>
      <c r="AW80" s="147"/>
      <c r="AX80" s="148"/>
      <c r="AY80" s="146" t="s">
        <v>57</v>
      </c>
      <c r="AZ80" s="148"/>
      <c r="BA80" s="45"/>
    </row>
    <row r="81" spans="46:53" x14ac:dyDescent="0.3">
      <c r="AT81" s="44"/>
      <c r="AU81" s="47"/>
      <c r="AV81" s="149"/>
      <c r="AW81" s="150"/>
      <c r="AX81" s="151"/>
      <c r="AY81" s="149"/>
      <c r="AZ81" s="151"/>
      <c r="BA81" s="45"/>
    </row>
    <row r="82" spans="46:53" ht="22.5" x14ac:dyDescent="0.3">
      <c r="AT82" s="44"/>
      <c r="AU82" s="48" t="s">
        <v>55</v>
      </c>
      <c r="AV82" s="49" t="s">
        <v>58</v>
      </c>
      <c r="AW82" s="49" t="s">
        <v>59</v>
      </c>
      <c r="AX82" s="49" t="s">
        <v>60</v>
      </c>
      <c r="AY82" s="49" t="s">
        <v>58</v>
      </c>
      <c r="AZ82" s="49" t="s">
        <v>61</v>
      </c>
      <c r="BA82" s="45"/>
    </row>
    <row r="83" spans="46:53" ht="25.5" x14ac:dyDescent="0.3">
      <c r="AT83" s="44"/>
      <c r="AU83" s="50" t="s">
        <v>62</v>
      </c>
      <c r="AV83" s="50" t="s">
        <v>63</v>
      </c>
      <c r="AW83" s="51">
        <v>1.67</v>
      </c>
      <c r="AX83" s="51">
        <v>3</v>
      </c>
      <c r="AY83" s="50" t="s">
        <v>64</v>
      </c>
      <c r="AZ83" s="50" t="s">
        <v>64</v>
      </c>
      <c r="BA83" s="45"/>
    </row>
    <row r="84" spans="46:53" ht="38.25" x14ac:dyDescent="0.3">
      <c r="AT84" s="44"/>
      <c r="AU84" s="50" t="s">
        <v>65</v>
      </c>
      <c r="AV84" s="51">
        <v>2.5</v>
      </c>
      <c r="AW84" s="51">
        <v>2.5</v>
      </c>
      <c r="AX84" s="51">
        <v>2.5</v>
      </c>
      <c r="AY84" s="50" t="s">
        <v>63</v>
      </c>
      <c r="AZ84" s="51">
        <v>1.67</v>
      </c>
      <c r="BA84" s="45"/>
    </row>
    <row r="85" spans="46:53" x14ac:dyDescent="0.3">
      <c r="AT85" s="44"/>
      <c r="BA85" s="45"/>
    </row>
    <row r="86" spans="46:53" ht="15" customHeight="1" x14ac:dyDescent="0.3">
      <c r="AT86" s="52" t="s">
        <v>67</v>
      </c>
      <c r="AU86" s="131" t="s">
        <v>62</v>
      </c>
      <c r="AV86" s="131"/>
      <c r="AW86" s="131"/>
      <c r="BA86" s="45"/>
    </row>
    <row r="87" spans="46:53" x14ac:dyDescent="0.3">
      <c r="AT87" s="44"/>
      <c r="AU87" s="25" t="s">
        <v>4</v>
      </c>
      <c r="AV87" s="28" t="s">
        <v>0</v>
      </c>
      <c r="AW87" s="28" t="s">
        <v>1</v>
      </c>
      <c r="BA87" s="45"/>
    </row>
    <row r="88" spans="46:53" x14ac:dyDescent="0.3">
      <c r="AT88" s="44"/>
      <c r="AU88" s="25">
        <v>1</v>
      </c>
      <c r="AV88" s="34">
        <v>3</v>
      </c>
      <c r="AW88" s="34">
        <v>0</v>
      </c>
      <c r="BA88" s="45"/>
    </row>
    <row r="89" spans="46:53" x14ac:dyDescent="0.3">
      <c r="AT89" s="44"/>
      <c r="AU89" s="25">
        <v>2</v>
      </c>
      <c r="AV89" s="34">
        <v>1.67</v>
      </c>
      <c r="AW89" s="34">
        <v>0</v>
      </c>
      <c r="BA89" s="45"/>
    </row>
    <row r="90" spans="46:53" x14ac:dyDescent="0.3">
      <c r="AT90" s="44"/>
      <c r="AU90" s="25">
        <v>3</v>
      </c>
      <c r="AV90" s="34">
        <v>1.67</v>
      </c>
      <c r="AW90" s="34">
        <v>0</v>
      </c>
      <c r="BA90" s="45"/>
    </row>
    <row r="91" spans="46:53" x14ac:dyDescent="0.3">
      <c r="AT91" s="44"/>
      <c r="AU91" s="25">
        <v>4</v>
      </c>
      <c r="AV91" s="34">
        <v>1.67</v>
      </c>
      <c r="AW91" s="34">
        <v>0</v>
      </c>
      <c r="BA91" s="45"/>
    </row>
    <row r="92" spans="46:53" x14ac:dyDescent="0.3">
      <c r="AT92" s="44"/>
      <c r="AU92" s="25">
        <v>5</v>
      </c>
      <c r="AV92" s="34">
        <v>1.67</v>
      </c>
      <c r="AW92" s="34">
        <v>0</v>
      </c>
      <c r="BA92" s="45"/>
    </row>
    <row r="93" spans="46:53" x14ac:dyDescent="0.3">
      <c r="AT93" s="44"/>
      <c r="AU93" s="25">
        <v>6</v>
      </c>
      <c r="AV93" s="34">
        <v>1.67</v>
      </c>
      <c r="AW93" s="34">
        <v>0</v>
      </c>
      <c r="BA93" s="45"/>
    </row>
    <row r="94" spans="46:53" x14ac:dyDescent="0.3">
      <c r="AT94" s="44"/>
      <c r="AU94" s="25">
        <v>7</v>
      </c>
      <c r="AV94" s="34">
        <v>1.67</v>
      </c>
      <c r="AW94" s="34">
        <v>0</v>
      </c>
      <c r="BA94" s="45"/>
    </row>
    <row r="95" spans="46:53" x14ac:dyDescent="0.3">
      <c r="AT95" s="44"/>
      <c r="AU95" s="25">
        <v>8</v>
      </c>
      <c r="AV95" s="34">
        <v>1.67</v>
      </c>
      <c r="AW95" s="34">
        <v>0</v>
      </c>
      <c r="BA95" s="45"/>
    </row>
    <row r="96" spans="46:53" x14ac:dyDescent="0.3">
      <c r="AT96" s="44"/>
      <c r="AU96" s="25">
        <v>9</v>
      </c>
      <c r="AV96" s="34">
        <v>1.67</v>
      </c>
      <c r="AW96" s="34">
        <v>0</v>
      </c>
      <c r="BA96" s="45"/>
    </row>
    <row r="97" spans="46:53" x14ac:dyDescent="0.3">
      <c r="AT97" s="44"/>
      <c r="AU97" s="25">
        <v>10</v>
      </c>
      <c r="AV97" s="29">
        <v>1.25</v>
      </c>
      <c r="AW97" s="34">
        <v>0</v>
      </c>
      <c r="BA97" s="45"/>
    </row>
    <row r="98" spans="46:53" x14ac:dyDescent="0.3">
      <c r="AT98" s="44"/>
      <c r="AU98" s="15"/>
      <c r="AV98" s="53"/>
      <c r="AW98" s="54"/>
      <c r="BA98" s="45"/>
    </row>
    <row r="99" spans="46:53" x14ac:dyDescent="0.3">
      <c r="AT99" s="55">
        <f>'TC-C.B-Fuse'!N21</f>
        <v>26.854288629894196</v>
      </c>
      <c r="AU99" s="15"/>
      <c r="AV99" s="53">
        <f>VLOOKUP(AT99,AU88:AW97,2,TRUE)</f>
        <v>1.25</v>
      </c>
      <c r="AW99" s="53">
        <f>VLOOKUP(AT100,AU88:AW97,3,TRUE)</f>
        <v>0</v>
      </c>
      <c r="AX99" s="15">
        <f>IF(AV99=AV97,1,0)</f>
        <v>1</v>
      </c>
      <c r="BA99" s="45"/>
    </row>
    <row r="100" spans="46:53" x14ac:dyDescent="0.3">
      <c r="AT100" s="55">
        <f>'TC-C.B-Fuse'!N26</f>
        <v>54.987352908830971</v>
      </c>
      <c r="AU100" s="15"/>
      <c r="AV100" s="56">
        <f>AV99*AT99</f>
        <v>33.567860787367742</v>
      </c>
      <c r="AW100" s="15" t="s">
        <v>70</v>
      </c>
      <c r="BA100" s="45"/>
    </row>
    <row r="101" spans="46:53" x14ac:dyDescent="0.3">
      <c r="AT101" s="44"/>
      <c r="AV101" s="31">
        <f>VLOOKUP(AV100,AM6:AN44,2,TRUE)</f>
        <v>30</v>
      </c>
      <c r="AW101" s="15" t="s">
        <v>70</v>
      </c>
      <c r="BA101" s="45"/>
    </row>
    <row r="102" spans="46:53" x14ac:dyDescent="0.3">
      <c r="AT102" s="44"/>
      <c r="BA102" s="45"/>
    </row>
    <row r="103" spans="46:53" x14ac:dyDescent="0.3">
      <c r="AT103" s="44"/>
      <c r="AU103" s="131" t="s">
        <v>69</v>
      </c>
      <c r="AV103" s="131"/>
      <c r="AW103" s="131"/>
      <c r="BA103" s="45"/>
    </row>
    <row r="104" spans="46:53" x14ac:dyDescent="0.3">
      <c r="AT104" s="44"/>
      <c r="AU104" s="25" t="s">
        <v>4</v>
      </c>
      <c r="AV104" s="28" t="s">
        <v>0</v>
      </c>
      <c r="AW104" s="28" t="s">
        <v>1</v>
      </c>
      <c r="BA104" s="45"/>
    </row>
    <row r="105" spans="46:53" x14ac:dyDescent="0.3">
      <c r="AT105" s="44"/>
      <c r="AU105" s="25">
        <v>1</v>
      </c>
      <c r="AV105" s="34">
        <v>2.5</v>
      </c>
      <c r="AW105" s="34">
        <v>1.67</v>
      </c>
      <c r="BA105" s="45"/>
    </row>
    <row r="106" spans="46:53" x14ac:dyDescent="0.3">
      <c r="AT106" s="44"/>
      <c r="AU106" s="25">
        <v>2</v>
      </c>
      <c r="AV106" s="34">
        <v>2.5</v>
      </c>
      <c r="AW106" s="34">
        <v>1.67</v>
      </c>
      <c r="BA106" s="45"/>
    </row>
    <row r="107" spans="46:53" x14ac:dyDescent="0.3">
      <c r="AT107" s="44"/>
      <c r="AU107" s="25">
        <v>3</v>
      </c>
      <c r="AV107" s="34">
        <v>2.5</v>
      </c>
      <c r="AW107" s="34">
        <v>1.67</v>
      </c>
      <c r="BA107" s="45"/>
    </row>
    <row r="108" spans="46:53" x14ac:dyDescent="0.3">
      <c r="AT108" s="44"/>
      <c r="AU108" s="25">
        <v>4</v>
      </c>
      <c r="AV108" s="34">
        <v>2.5</v>
      </c>
      <c r="AW108" s="34">
        <v>1.67</v>
      </c>
      <c r="BA108" s="45"/>
    </row>
    <row r="109" spans="46:53" x14ac:dyDescent="0.3">
      <c r="AT109" s="44"/>
      <c r="AU109" s="25">
        <v>5</v>
      </c>
      <c r="AV109" s="34">
        <v>2.5</v>
      </c>
      <c r="AW109" s="34">
        <v>1.67</v>
      </c>
      <c r="BA109" s="45"/>
    </row>
    <row r="110" spans="46:53" x14ac:dyDescent="0.3">
      <c r="AT110" s="44"/>
      <c r="AU110" s="25">
        <v>6</v>
      </c>
      <c r="AV110" s="34">
        <v>2.5</v>
      </c>
      <c r="AW110" s="34">
        <v>1.67</v>
      </c>
      <c r="BA110" s="45"/>
    </row>
    <row r="111" spans="46:53" x14ac:dyDescent="0.3">
      <c r="AT111" s="44"/>
      <c r="AU111" s="25">
        <v>7</v>
      </c>
      <c r="AV111" s="34">
        <v>2.5</v>
      </c>
      <c r="AW111" s="34">
        <v>1.67</v>
      </c>
      <c r="BA111" s="45"/>
    </row>
    <row r="112" spans="46:53" x14ac:dyDescent="0.3">
      <c r="AT112" s="44"/>
      <c r="AU112" s="25">
        <v>8</v>
      </c>
      <c r="AV112" s="34">
        <v>2.5</v>
      </c>
      <c r="AW112" s="34">
        <v>1.67</v>
      </c>
      <c r="BA112" s="45"/>
    </row>
    <row r="113" spans="46:53" x14ac:dyDescent="0.3">
      <c r="AT113" s="44"/>
      <c r="AU113" s="25">
        <v>9</v>
      </c>
      <c r="AV113" s="34">
        <v>2.5</v>
      </c>
      <c r="AW113" s="34">
        <v>1.25</v>
      </c>
      <c r="BA113" s="45"/>
    </row>
    <row r="114" spans="46:53" x14ac:dyDescent="0.3">
      <c r="AT114" s="44"/>
      <c r="AU114" s="25">
        <v>10</v>
      </c>
      <c r="AV114" s="34">
        <v>2.5</v>
      </c>
      <c r="AW114" s="57">
        <v>1.25</v>
      </c>
      <c r="BA114" s="45"/>
    </row>
    <row r="115" spans="46:53" x14ac:dyDescent="0.3">
      <c r="AT115" s="44"/>
      <c r="BA115" s="45"/>
    </row>
    <row r="116" spans="46:53" x14ac:dyDescent="0.3">
      <c r="AT116" s="55">
        <f>AT99</f>
        <v>26.854288629894196</v>
      </c>
      <c r="AV116" s="53">
        <f>VLOOKUP(AT116,AU105:AW114,2,TRUE)</f>
        <v>2.5</v>
      </c>
      <c r="AW116" s="53">
        <f>VLOOKUP(AT117,AU105:AW114,3,TRUE)</f>
        <v>1.25</v>
      </c>
      <c r="AX116" s="15">
        <f>IF(AW116=AW114,1,0)</f>
        <v>1</v>
      </c>
      <c r="BA116" s="45"/>
    </row>
    <row r="117" spans="46:53" x14ac:dyDescent="0.3">
      <c r="AT117" s="55">
        <f>AT100</f>
        <v>54.987352908830971</v>
      </c>
      <c r="AV117" s="56">
        <f>AV116*AT116</f>
        <v>67.135721574735484</v>
      </c>
      <c r="AW117" s="56">
        <f>AW116*AT117</f>
        <v>68.734191136038717</v>
      </c>
      <c r="BA117" s="45"/>
    </row>
    <row r="118" spans="46:53" x14ac:dyDescent="0.3">
      <c r="AT118" s="44"/>
      <c r="AV118" s="31">
        <f>VLOOKUP(AV117,AM6:AN60,2,TRUE)</f>
        <v>60</v>
      </c>
      <c r="AW118" s="31">
        <f>VLOOKUP(AW117,AM6:AN60,2,TRUE)</f>
        <v>60</v>
      </c>
      <c r="BA118" s="45"/>
    </row>
    <row r="119" spans="46:53" x14ac:dyDescent="0.3">
      <c r="AT119" s="44"/>
      <c r="BA119" s="45"/>
    </row>
    <row r="120" spans="46:53" x14ac:dyDescent="0.3">
      <c r="AT120" s="44"/>
      <c r="BA120" s="45"/>
    </row>
    <row r="121" spans="46:53" x14ac:dyDescent="0.3">
      <c r="AT121" s="44"/>
      <c r="AV121" s="31">
        <f>IF('TC-C.B-Fuse'!N15="Primary Only",Sheet2!AV101,Sheet2!AV118)</f>
        <v>60</v>
      </c>
      <c r="AW121" s="31">
        <f>IF('TC-C.B-Fuse'!N15="Primary Only",AW101,AW118)</f>
        <v>60</v>
      </c>
      <c r="BA121" s="45"/>
    </row>
    <row r="122" spans="46:53" ht="15.75" thickBot="1" x14ac:dyDescent="0.35">
      <c r="AT122" s="58"/>
      <c r="AU122" s="59"/>
      <c r="AV122" s="59"/>
      <c r="AW122" s="59"/>
      <c r="AX122" s="59"/>
      <c r="AY122" s="59"/>
      <c r="AZ122" s="59"/>
      <c r="BA122" s="60"/>
    </row>
  </sheetData>
  <sheetProtection algorithmName="SHA-512" hashValue="fwHdz9914yell7syvfGeCZ8/NPnBwmMPfDVRSI/VjTIICWW4ZX3/g3ahy+PKFi64qkCGmPR6obunsHTDzmmWiA==" saltValue="10kUjK+RFmlmsEccAV2REg==" spinCount="100000" sheet="1" formatCells="0" formatColumns="0" formatRows="0" sort="0" pivotTables="0"/>
  <mergeCells count="29">
    <mergeCell ref="C2:G2"/>
    <mergeCell ref="AU103:AW103"/>
    <mergeCell ref="AZ9:BA9"/>
    <mergeCell ref="BB9:BC9"/>
    <mergeCell ref="AU79:AZ79"/>
    <mergeCell ref="AV80:AX81"/>
    <mergeCell ref="AY80:AZ81"/>
    <mergeCell ref="AU86:AW86"/>
    <mergeCell ref="AU61:AU64"/>
    <mergeCell ref="AV61:AW61"/>
    <mergeCell ref="AX61:AZ61"/>
    <mergeCell ref="AV62:AW62"/>
    <mergeCell ref="AX62:AY62"/>
    <mergeCell ref="AM4:AN4"/>
    <mergeCell ref="AK4:AL4"/>
    <mergeCell ref="AK5:AL5"/>
    <mergeCell ref="AU60:AX60"/>
    <mergeCell ref="AY60:AZ60"/>
    <mergeCell ref="AM5:AN5"/>
    <mergeCell ref="AU5:AV5"/>
    <mergeCell ref="AP5:AR5"/>
    <mergeCell ref="AW5:AX5"/>
    <mergeCell ref="AV17:AW17"/>
    <mergeCell ref="AX17:AY17"/>
    <mergeCell ref="AV16:AW16"/>
    <mergeCell ref="AX16:AZ16"/>
    <mergeCell ref="AU16:AU19"/>
    <mergeCell ref="AU15:AX15"/>
    <mergeCell ref="AY15:AZ15"/>
  </mergeCells>
  <dataValidations count="1">
    <dataValidation type="decimal" allowBlank="1" showInputMessage="1" showErrorMessage="1" error="Enter Decimal Value only (Don't Enter any Text)" sqref="G6:G60 C6:C54" xr:uid="{00000000-0002-0000-0100-000000000000}">
      <formula1>1</formula1>
      <formula2>100000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TC-C.B-Fuse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Rabert</cp:lastModifiedBy>
  <dcterms:created xsi:type="dcterms:W3CDTF">2006-09-16T00:00:00Z</dcterms:created>
  <dcterms:modified xsi:type="dcterms:W3CDTF">2023-10-28T01:24:49Z</dcterms:modified>
</cp:coreProperties>
</file>